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RCELONA\"/>
    </mc:Choice>
  </mc:AlternateContent>
  <workbookProtection workbookAlgorithmName="SHA-512" workbookHashValue="ThV6NbTunmYmV5uVbDSl26hADDwRm9L7R1kEoNqPL3gx2HhOAmeGvmzwj+2S4spIZYQGoBJKPK7mRsfY770bQg==" workbookSaltValue="HSL/as2NnHKkkXMQYSe8G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F18"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I18" i="12" l="1"/>
  <c r="BI20" i="26"/>
  <c r="K10" i="12"/>
  <c r="E20" i="17"/>
  <c r="BL21" i="26"/>
  <c r="BE13" i="8"/>
  <c r="J9" i="12"/>
  <c r="BD19" i="13"/>
  <c r="K12" i="12"/>
  <c r="J12" i="12"/>
  <c r="S16" i="16"/>
  <c r="BW16" i="27"/>
  <c r="P16" i="17"/>
  <c r="S16" i="26"/>
  <c r="BL16" i="11"/>
  <c r="BJ16" i="11"/>
  <c r="BH16" i="11"/>
  <c r="BF16" i="11"/>
  <c r="BH16" i="26"/>
  <c r="BK16" i="11"/>
  <c r="BI16" i="11"/>
  <c r="V16" i="11"/>
  <c r="AP16" i="20"/>
  <c r="BV16" i="16"/>
  <c r="BH16" i="16"/>
  <c r="T16" i="16"/>
  <c r="AP16" i="27"/>
  <c r="BU16" i="17"/>
  <c r="Q16" i="17"/>
  <c r="BV16" i="26"/>
  <c r="T16" i="26"/>
  <c r="BM16" i="11"/>
  <c r="BG16" i="11"/>
  <c r="X16" i="26"/>
  <c r="V16" i="27"/>
  <c r="V16" i="20"/>
  <c r="S16" i="14"/>
  <c r="V16" i="14" s="1"/>
  <c r="T16" i="11"/>
  <c r="V16" i="26"/>
  <c r="S16" i="17"/>
  <c r="V16" i="16"/>
  <c r="AM16" i="11"/>
  <c r="AO16" i="17"/>
  <c r="U16" i="17"/>
  <c r="X16" i="16"/>
  <c r="AZ16" i="1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BV22" i="26" s="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G20" i="11" l="1"/>
  <c r="BJ20" i="1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Z21" i="16"/>
  <c r="AY21" i="21"/>
  <c r="K21" i="12"/>
  <c r="T21" i="17"/>
  <c r="AR21" i="20"/>
  <c r="X21" i="11"/>
  <c r="AH21" i="11"/>
  <c r="AK21" i="16"/>
  <c r="AK21" i="11"/>
  <c r="N21" i="17"/>
  <c r="V21" i="17"/>
  <c r="X21" i="21"/>
  <c r="AE21" i="21"/>
  <c r="AC21" i="17"/>
  <c r="AN21" i="16"/>
  <c r="BK21" i="16"/>
  <c r="Z21" i="11"/>
  <c r="AG21" i="16"/>
  <c r="X21" i="17"/>
  <c r="AY21" i="11"/>
  <c r="BN21" i="16"/>
  <c r="AW21" i="21"/>
  <c r="K21" i="17"/>
  <c r="AP21" i="21"/>
  <c r="J21" i="11"/>
  <c r="AJ21" i="21"/>
  <c r="D21" i="12"/>
  <c r="BE21" i="16"/>
  <c r="AT21" i="17"/>
  <c r="N21" i="11"/>
  <c r="AF21" i="17"/>
  <c r="AT21" i="16"/>
  <c r="AJ21" i="17"/>
  <c r="V21" i="16"/>
  <c r="BE21" i="21"/>
  <c r="I21" i="12"/>
  <c r="AA21" i="11"/>
  <c r="AV21" i="16"/>
  <c r="AE21" i="17"/>
  <c r="Y21" i="16"/>
  <c r="BD21" i="21"/>
  <c r="AK21" i="21"/>
  <c r="AO21" i="16"/>
  <c r="AO21" i="11"/>
  <c r="X21" i="16"/>
  <c r="W21" i="11"/>
  <c r="AE21" i="11"/>
  <c r="Q21" i="16"/>
  <c r="AF21" i="11"/>
  <c r="AY21" i="16"/>
  <c r="I21" i="11"/>
  <c r="AG21" i="11"/>
  <c r="O21" i="17"/>
  <c r="L21" i="21"/>
  <c r="U21" i="16"/>
  <c r="BS21" i="16"/>
  <c r="AG21" i="17"/>
  <c r="E21" i="17"/>
  <c r="AF21" i="16"/>
  <c r="AZ21" i="11"/>
  <c r="K21" i="11"/>
  <c r="E21" i="16"/>
  <c r="AM21" i="16"/>
  <c r="E21" i="21"/>
  <c r="Q21" i="11"/>
  <c r="M21" i="21"/>
  <c r="N21" i="16"/>
  <c r="AR21" i="21"/>
  <c r="AN21" i="17"/>
  <c r="F21" i="17"/>
  <c r="AS21" i="17"/>
  <c r="AJ21" i="16"/>
  <c r="AQ21" i="16"/>
  <c r="AL21" i="16"/>
  <c r="AB21" i="21"/>
  <c r="AL21" i="21"/>
  <c r="K20" i="12" l="1"/>
  <c r="DD15" i="16"/>
  <c r="DD11" i="16"/>
  <c r="DC10" i="16"/>
  <c r="DD16" i="16"/>
  <c r="DC12" i="16"/>
  <c r="DC16" i="16"/>
  <c r="DC18" i="16"/>
  <c r="DC11" i="16"/>
  <c r="DD17" i="16"/>
  <c r="DD12" i="16"/>
  <c r="DD10" i="16"/>
  <c r="DC9" i="16"/>
  <c r="DC17" i="16"/>
  <c r="DD9" i="16"/>
  <c r="DD18" i="16"/>
  <c r="DC15" i="16"/>
  <c r="DG16" i="16"/>
  <c r="DG17" i="16"/>
  <c r="DH15" i="16"/>
  <c r="DG12" i="16"/>
  <c r="DG9" i="16"/>
  <c r="DH11" i="16"/>
  <c r="DG15" i="16"/>
  <c r="DH10" i="16"/>
  <c r="DH16" i="16"/>
  <c r="DH18" i="16"/>
  <c r="DH9" i="16"/>
  <c r="DG18" i="16"/>
  <c r="DG10" i="16"/>
  <c r="DH12" i="16"/>
  <c r="DH17" i="16"/>
  <c r="DG11" i="16"/>
  <c r="CQ16" i="16"/>
  <c r="CQ12" i="16"/>
  <c r="CQ10" i="16"/>
  <c r="CR15" i="16"/>
  <c r="CQ9" i="16"/>
  <c r="CQ11" i="16"/>
  <c r="CR10" i="16"/>
  <c r="CQ15" i="16"/>
  <c r="CR16" i="16"/>
  <c r="CR18" i="16"/>
  <c r="CQ17" i="16"/>
  <c r="CR17" i="16"/>
  <c r="CQ18" i="16"/>
  <c r="CR12" i="16"/>
  <c r="CR9" i="16"/>
  <c r="CR11" i="16"/>
  <c r="CB16" i="16"/>
  <c r="CB15" i="16"/>
  <c r="CC12" i="16"/>
  <c r="CC15" i="16"/>
  <c r="CC9" i="16"/>
  <c r="CB9" i="16"/>
  <c r="CC17" i="16"/>
  <c r="CC11" i="16"/>
  <c r="CC16" i="16"/>
  <c r="CB17" i="16"/>
  <c r="CB11" i="16"/>
  <c r="CB18" i="16"/>
  <c r="CB12" i="16"/>
  <c r="CB10" i="16"/>
  <c r="CC18" i="16"/>
  <c r="CC10" i="16"/>
  <c r="EJ16" i="16"/>
  <c r="EI17" i="16"/>
  <c r="EJ15" i="16"/>
  <c r="EI9" i="16"/>
  <c r="EJ9" i="16"/>
  <c r="EJ11" i="16"/>
  <c r="EI12" i="16"/>
  <c r="EI18" i="16"/>
  <c r="EI16" i="16"/>
  <c r="EJ12" i="16"/>
  <c r="EI10" i="16"/>
  <c r="EJ17" i="16"/>
  <c r="EI15" i="16"/>
  <c r="EJ10" i="16"/>
  <c r="EI11" i="16"/>
  <c r="EJ18" i="16"/>
  <c r="CN15" i="16"/>
  <c r="CO17" i="16"/>
  <c r="CN9" i="16"/>
  <c r="CN18" i="16"/>
  <c r="CN10" i="16"/>
  <c r="CN16" i="16"/>
  <c r="CN12" i="16"/>
  <c r="CO10" i="16"/>
  <c r="CO16" i="16"/>
  <c r="CO18" i="16"/>
  <c r="CO11" i="16"/>
  <c r="CN17" i="16"/>
  <c r="CO12" i="16"/>
  <c r="CO9" i="16"/>
  <c r="CO15" i="16"/>
  <c r="CN11" i="16"/>
  <c r="ER17" i="16"/>
  <c r="EQ15" i="16"/>
  <c r="ER15" i="16"/>
  <c r="ER9" i="16"/>
  <c r="ER10" i="16"/>
  <c r="EQ17" i="16"/>
  <c r="ER18" i="16"/>
  <c r="ER16" i="16"/>
  <c r="EQ16" i="16"/>
  <c r="EQ12" i="16"/>
  <c r="ER12" i="16"/>
  <c r="EQ9" i="16"/>
  <c r="EQ18" i="16"/>
  <c r="EQ11" i="16"/>
  <c r="EQ10" i="16"/>
  <c r="ER11" i="16"/>
  <c r="AQ21" i="17"/>
  <c r="CE16" i="16"/>
  <c r="CF10" i="16"/>
  <c r="CE17" i="16"/>
  <c r="CE15" i="16"/>
  <c r="CF11" i="16"/>
  <c r="CE10" i="16"/>
  <c r="CE11" i="16"/>
  <c r="CF18" i="16"/>
  <c r="CF16" i="16"/>
  <c r="CF17" i="16"/>
  <c r="CF12" i="16"/>
  <c r="CE12" i="16"/>
  <c r="CE9" i="16"/>
  <c r="CF9" i="16"/>
  <c r="CE18" i="16"/>
  <c r="CF15" i="16"/>
  <c r="BL21" i="16"/>
  <c r="BY16" i="16"/>
  <c r="BY9" i="16"/>
  <c r="BY18" i="16"/>
  <c r="BY15" i="16"/>
  <c r="BZ9" i="16"/>
  <c r="BZ11" i="16"/>
  <c r="BZ15" i="16"/>
  <c r="BZ17" i="16"/>
  <c r="BY12" i="16"/>
  <c r="BZ16" i="16"/>
  <c r="BZ18" i="16"/>
  <c r="BY17" i="16"/>
  <c r="BZ12" i="16"/>
  <c r="BY10" i="16"/>
  <c r="BY11" i="16"/>
  <c r="BZ10" i="16"/>
  <c r="CI16" i="16"/>
  <c r="CH11" i="16"/>
  <c r="CI18" i="16"/>
  <c r="CH17" i="16"/>
  <c r="CI11" i="16"/>
  <c r="CI12" i="16"/>
  <c r="CI17" i="16"/>
  <c r="CI10" i="16"/>
  <c r="CH16" i="16"/>
  <c r="CH12" i="16"/>
  <c r="CH10" i="16"/>
  <c r="CI15" i="16"/>
  <c r="CI9" i="16"/>
  <c r="CH15" i="16"/>
  <c r="CH18" i="16"/>
  <c r="CH9" i="16"/>
  <c r="CK16" i="16"/>
  <c r="CK11" i="16"/>
  <c r="CK18" i="16"/>
  <c r="CK17" i="16"/>
  <c r="CK12" i="16"/>
  <c r="CL9" i="16"/>
  <c r="CL12" i="16"/>
  <c r="CK10" i="16"/>
  <c r="CL18" i="16"/>
  <c r="CL16" i="16"/>
  <c r="CL17" i="16"/>
  <c r="CL15" i="16"/>
  <c r="CL11" i="16"/>
  <c r="CK15" i="16"/>
  <c r="CL10" i="16"/>
  <c r="CK9" i="16"/>
  <c r="EN16" i="16"/>
  <c r="EM16" i="16"/>
  <c r="EM10" i="16"/>
  <c r="EN18" i="16"/>
  <c r="EN15" i="16"/>
  <c r="EN17" i="16"/>
  <c r="EN9" i="16"/>
  <c r="EM12" i="16"/>
  <c r="EM15" i="16"/>
  <c r="EM18" i="16"/>
  <c r="EM11" i="16"/>
  <c r="EN12" i="16"/>
  <c r="EN10" i="16"/>
  <c r="EN11" i="16"/>
  <c r="EM9" i="16"/>
  <c r="EM17" i="16"/>
  <c r="AQ21" i="11"/>
  <c r="CU12" i="16"/>
  <c r="CU10" i="16"/>
  <c r="CV16" i="16"/>
  <c r="CU18" i="16"/>
  <c r="CV17" i="16"/>
  <c r="CV18" i="16"/>
  <c r="CV12" i="16"/>
  <c r="CU9" i="16"/>
  <c r="CU16" i="16"/>
  <c r="CV10" i="16"/>
  <c r="CV9" i="16"/>
  <c r="CV15" i="16"/>
  <c r="CV11" i="16"/>
  <c r="CU15" i="16"/>
  <c r="CU17" i="16"/>
  <c r="CU11" i="16"/>
  <c r="AP21" i="11"/>
  <c r="CY16" i="16"/>
  <c r="CZ17" i="16"/>
  <c r="CZ11" i="16"/>
  <c r="CY15" i="16"/>
  <c r="CY12" i="16"/>
  <c r="CY10" i="16"/>
  <c r="CY18" i="16"/>
  <c r="CZ16" i="16"/>
  <c r="CZ18" i="16"/>
  <c r="CZ15" i="16"/>
  <c r="CZ9" i="16"/>
  <c r="CY17" i="16"/>
  <c r="CY11" i="16"/>
  <c r="CZ10" i="16"/>
  <c r="CY9" i="16"/>
  <c r="CZ12"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<sst xmlns="http://schemas.openxmlformats.org/spreadsheetml/2006/main" count="2527" uniqueCount="1027">
  <si>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</si>
  <si>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</si>
  <si>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</si>
  <si>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</si>
  <si>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</si>
  <si>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</si>
  <si>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</si>
  <si>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</si>
  <si>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</si>
  <si>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</si>
  <si>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</si>
  <si>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</si>
  <si>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</si>
  <si>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</si>
  <si>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</si>
  <si>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</si>
  <si>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</si>
  <si>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</si>
  <si>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</si>
  <si>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</si>
  <si>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</si>
  <si>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</si>
  <si>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</si>
  <si>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</si>
  <si>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</si>
  <si>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</si>
  <si>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</si>
  <si>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</si>
  <si>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</si>
  <si>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</si>
  <si>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</si>
  <si>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</si>
  <si>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</si>
  <si>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</si>
  <si>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</si>
  <si>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</si>
  <si>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</si>
  <si>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</si>
  <si>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</si>
  <si>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</si>
  <si>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</si>
  <si>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</si>
  <si>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</si>
  <si>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</si>
  <si>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</si>
  <si>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</si>
  <si>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</si>
  <si>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</si>
  <si>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</si>
  <si>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</si>
  <si>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</si>
  <si>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</si>
  <si>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</si>
  <si>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</si>
  <si>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</si>
  <si>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</si>
  <si>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</si>
  <si>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</si>
  <si>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</si>
  <si>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</si>
  <si>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</si>
  <si>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</si>
  <si>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</si>
  <si>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</si>
  <si>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</si>
  <si>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</si>
  <si>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</si>
  <si>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</si>
  <si>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</si>
  <si>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</si>
  <si>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</si>
  <si>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</si>
  <si>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</si>
  <si>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</si>
  <si>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</si>
  <si>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</si>
  <si>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</si>
  <si>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</si>
  <si>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</si>
  <si>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</si>
  <si>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</si>
  <si>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</si>
  <si>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</si>
  <si>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</si>
  <si>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</si>
  <si>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</si>
  <si>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</si>
  <si>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</si>
  <si>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</si>
  <si>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</si>
  <si>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</si>
  <si>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</si>
  <si>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</si>
  <si>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</si>
  <si>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</si>
  <si>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</si>
  <si>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</si>
  <si>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</si>
  <si>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</si>
  <si>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</si>
  <si>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</si>
  <si>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</si>
  <si>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</si>
  <si>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</si>
  <si>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</si>
  <si>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</si>
  <si>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</si>
  <si>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</si>
  <si>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</si>
  <si>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</si>
  <si>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</si>
  <si>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</si>
  <si>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</si>
  <si>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</si>
  <si>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</si>
  <si>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</si>
  <si>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</si>
  <si>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</si>
  <si>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</si>
  <si>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</si>
  <si>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</si>
  <si>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</si>
  <si>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</si>
  <si>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</si>
  <si>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</si>
  <si>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</si>
  <si>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</si>
  <si>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</si>
  <si>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</si>
  <si>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</si>
  <si>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</si>
  <si>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</si>
  <si>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</si>
  <si>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</si>
  <si>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</si>
  <si>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</si>
  <si>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</si>
  <si>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</si>
  <si>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</si>
  <si>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</si>
  <si>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</si>
  <si>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</si>
  <si>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</si>
  <si>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</si>
  <si>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</si>
  <si>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</si>
  <si>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</si>
  <si>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</si>
  <si>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</si>
  <si>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</si>
  <si>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</si>
  <si>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</si>
  <si>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</si>
  <si>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</si>
  <si>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</si>
  <si>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</si>
  <si>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</si>
  <si>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</si>
  <si>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</si>
  <si>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</si>
  <si>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</si>
  <si>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</si>
  <si>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</si>
  <si>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</si>
  <si>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</si>
  <si>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</si>
  <si>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</si>
  <si>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</si>
  <si>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</si>
  <si>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</si>
  <si>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</si>
  <si>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</si>
  <si>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</si>
  <si>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</si>
  <si>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</si>
  <si>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</si>
  <si>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</si>
  <si>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</si>
  <si>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</si>
  <si>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</si>
  <si>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</si>
  <si>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</si>
  <si>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</si>
  <si>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</si>
  <si>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</si>
  <si>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</si>
  <si>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</si>
  <si>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</si>
  <si>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</si>
  <si>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</si>
  <si>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</si>
  <si>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</si>
  <si>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</si>
  <si>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</si>
  <si>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</si>
  <si>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</si>
  <si>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</si>
  <si>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</si>
  <si>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</si>
  <si>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</si>
  <si>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</si>
  <si>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</si>
  <si>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</si>
  <si>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</si>
  <si>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</si>
  <si>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</si>
  <si>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</si>
  <si>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</si>
  <si>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</si>
  <si>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</si>
  <si>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</si>
  <si>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</si>
  <si>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</si>
  <si>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</si>
  <si>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</si>
  <si>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</si>
  <si>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</si>
  <si>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</si>
  <si>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</si>
  <si>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</si>
  <si>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</si>
  <si>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</si>
  <si>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</si>
  <si>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</si>
  <si>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</si>
  <si>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</si>
  <si>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</si>
  <si>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</si>
  <si>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</si>
  <si>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</si>
  <si>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</si>
  <si>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</si>
  <si>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</si>
  <si>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</si>
  <si>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</si>
  <si>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</si>
  <si>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</si>
  <si>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</si>
  <si>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</si>
  <si>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</si>
  <si>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</si>
  <si>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</si>
  <si>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</si>
  <si>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</si>
  <si>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</si>
  <si>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</si>
  <si>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</si>
  <si>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</si>
  <si>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</si>
  <si>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</si>
  <si>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</si>
  <si>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</si>
  <si>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</si>
  <si>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</si>
  <si>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</si>
  <si>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</si>
  <si>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</si>
  <si>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</si>
  <si>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</si>
  <si>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</si>
  <si>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</si>
  <si>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</si>
  <si>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</si>
  <si>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</si>
  <si>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</si>
  <si>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</si>
  <si>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</si>
  <si>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</si>
  <si>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</si>
  <si>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</si>
  <si>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</si>
  <si>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</si>
  <si>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</si>
  <si>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</si>
  <si>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</si>
  <si>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</si>
  <si>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</si>
  <si>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</si>
  <si>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</si>
  <si>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</si>
  <si>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</si>
  <si>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</si>
  <si>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</si>
  <si>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</si>
  <si>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</si>
  <si>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</si>
  <si>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</si>
  <si>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</si>
  <si>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</si>
  <si>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</si>
  <si>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</si>
  <si>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</si>
  <si>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</si>
  <si>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</si>
  <si>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</si>
  <si>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</si>
  <si>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</si>
  <si>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</si>
  <si>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</si>
  <si>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</si>
  <si>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</si>
  <si>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</si>
  <si>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</si>
  <si>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</si>
  <si>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</si>
  <si>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</si>
  <si>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</si>
  <si>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</si>
  <si>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</si>
  <si>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</si>
  <si>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</si>
  <si>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</si>
  <si>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</si>
  <si>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</si>
  <si>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</si>
  <si>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</si>
  <si>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</si>
  <si>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</si>
  <si>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</si>
  <si>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</si>
  <si>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</si>
  <si>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</si>
  <si>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</si>
  <si>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</si>
  <si>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</si>
  <si>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</si>
  <si>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</si>
  <si>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</si>
  <si>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</si>
  <si>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</si>
  <si>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</si>
  <si>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</si>
  <si>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</si>
  <si>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</si>
  <si>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</si>
  <si>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</si>
  <si>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</si>
  <si>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</si>
  <si>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</si>
  <si>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</si>
  <si>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</si>
  <si>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</si>
  <si>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</si>
  <si>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</si>
  <si>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</si>
  <si>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</si>
  <si>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</si>
  <si>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</si>
  <si>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</si>
  <si>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</si>
  <si>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</si>
  <si>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</si>
  <si>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</si>
  <si>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</si>
  <si>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</si>
  <si>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</si>
  <si>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</si>
  <si>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</si>
  <si>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</si>
  <si>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</si>
  <si>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</si>
  <si>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</si>
  <si>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</si>
  <si>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</si>
  <si>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</si>
  <si>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</si>
  <si>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</si>
  <si>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</si>
  <si>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</si>
  <si>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</si>
  <si>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</si>
  <si>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</si>
  <si>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</si>
  <si>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</si>
  <si>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</si>
  <si>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</si>
  <si>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</si>
  <si>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</si>
  <si>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</si>
  <si>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</si>
  <si>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</si>
  <si>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</si>
  <si>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</si>
  <si>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</si>
  <si>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</si>
  <si>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</si>
  <si>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</si>
  <si>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</si>
  <si>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</si>
  <si>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</si>
  <si>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</si>
  <si>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</si>
  <si>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</si>
  <si>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</si>
  <si>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</si>
  <si>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</si>
  <si>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</si>
  <si>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</si>
  <si>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</si>
  <si>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</si>
  <si>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</si>
  <si>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</si>
  <si>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</si>
  <si>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</si>
  <si>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</si>
  <si>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</si>
  <si>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</si>
  <si>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</si>
  <si>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</si>
  <si>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</si>
  <si>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</si>
  <si>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</si>
  <si>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</si>
  <si>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</si>
  <si>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</si>
  <si>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</si>
  <si>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</si>
  <si>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</si>
  <si>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</si>
  <si>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</si>
  <si>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</si>
  <si>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</si>
  <si>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</si>
  <si>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</si>
  <si>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</si>
  <si>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</si>
  <si>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</si>
  <si>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</si>
  <si>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</si>
  <si>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</si>
  <si>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</si>
  <si>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</si>
  <si>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</si>
  <si>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</si>
  <si>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</si>
  <si>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</si>
  <si>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</si>
  <si>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</si>
  <si>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</si>
  <si>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</si>
  <si>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</si>
  <si>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</si>
  <si>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</si>
  <si>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</si>
  <si>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</si>
  <si>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</si>
  <si>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</si>
  <si>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</si>
  <si>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</si>
  <si>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</si>
  <si>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</si>
  <si>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</si>
  <si>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</si>
  <si>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</si>
  <si>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</si>
  <si>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</si>
  <si>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</si>
  <si>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</si>
  <si>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</si>
  <si>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</si>
  <si>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</si>
  <si>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</si>
  <si>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</si>
  <si>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</si>
  <si>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</si>
  <si>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</si>
  <si>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</si>
  <si>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</si>
  <si>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</si>
  <si>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</si>
  <si>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</si>
  <si>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</si>
  <si>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</si>
  <si>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</si>
  <si>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</si>
  <si>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</si>
  <si>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</si>
  <si>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</si>
  <si>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</si>
  <si>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</si>
  <si>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</si>
  <si>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</si>
  <si>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</si>
  <si>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</si>
  <si>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</si>
  <si>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</si>
  <si>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</si>
  <si>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</si>
  <si>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</si>
  <si>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</si>
  <si>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</si>
  <si>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</si>
  <si>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</si>
  <si>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</si>
  <si>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</si>
  <si>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</si>
  <si>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</si>
  <si>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</si>
  <si>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</si>
  <si>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</si>
  <si>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</si>
  <si>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</si>
  <si>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</si>
  <si>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</si>
  <si>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</si>
  <si>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</si>
  <si>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</si>
  <si>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</si>
  <si>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</si>
  <si>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</si>
  <si>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</si>
  <si>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</si>
  <si>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</si>
  <si>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</si>
  <si>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</si>
  <si>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</si>
  <si>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</si>
  <si>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</si>
  <si>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</si>
  <si>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</si>
  <si>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</si>
  <si>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</si>
  <si>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</si>
  <si>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</si>
  <si>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</si>
  <si>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</si>
  <si>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</si>
  <si>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</si>
  <si>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</si>
  <si>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</si>
  <si>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</si>
  <si>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</si>
  <si>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</si>
  <si>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</si>
  <si>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</si>
  <si>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</si>
  <si>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</si>
  <si>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</si>
  <si>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</si>
  <si>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</si>
  <si>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</si>
  <si>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</si>
  <si>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</si>
  <si>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</si>
  <si>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</si>
  <si>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</si>
  <si>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</si>
  <si>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</si>
  <si>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</si>
  <si>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</si>
  <si>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</si>
  <si>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</si>
  <si>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</si>
  <si>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</si>
  <si>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</si>
  <si>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</si>
  <si>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</si>
  <si>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</si>
  <si>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</si>
  <si>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</si>
  <si>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</si>
  <si>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</si>
  <si>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</si>
  <si>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</si>
  <si>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</si>
  <si>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</si>
  <si>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</si>
  <si>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</si>
  <si>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</si>
  <si>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</si>
  <si>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</si>
  <si>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</si>
  <si>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</si>
  <si>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</si>
  <si>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</si>
  <si>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</si>
  <si>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</si>
  <si>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</si>
  <si>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</si>
  <si>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</si>
  <si>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</si>
  <si>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</si>
  <si>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</si>
  <si>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</si>
  <si>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</si>
  <si>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</si>
  <si>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</si>
  <si>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</si>
  <si>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</si>
  <si>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</si>
  <si>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</si>
  <si>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</si>
  <si>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</si>
  <si>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</si>
  <si>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</si>
  <si>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</si>
  <si>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</si>
  <si>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</si>
  <si>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</si>
  <si>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</si>
  <si>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</si>
  <si>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</si>
  <si>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</si>
  <si>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</si>
  <si>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</si>
  <si>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</si>
  <si>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</si>
  <si>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</si>
  <si>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</si>
  <si>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</si>
  <si>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</si>
  <si>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</si>
  <si>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</si>
  <si>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</si>
  <si>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</si>
  <si>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</si>
  <si>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</si>
  <si>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</si>
  <si>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</si>
  <si>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</si>
  <si>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</si>
  <si>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</si>
  <si>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</si>
  <si>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</si>
  <si>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</si>
  <si>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</si>
  <si>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</si>
  <si>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</si>
  <si>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</si>
  <si>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</si>
  <si>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</si>
  <si>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</si>
  <si>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</si>
  <si>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</si>
  <si>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</si>
  <si>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</si>
  <si>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</si>
  <si>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</si>
  <si>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</si>
  <si>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</si>
  <si>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</si>
  <si>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</si>
  <si>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</si>
  <si>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</si>
  <si>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</si>
  <si>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</si>
  <si>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</si>
  <si>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</si>
  <si>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</si>
  <si>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</si>
  <si>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</si>
  <si>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</si>
  <si>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</si>
  <si>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</si>
  <si>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</si>
  <si>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</si>
  <si>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</si>
  <si>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</si>
  <si>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</si>
  <si>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</si>
  <si>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</si>
  <si>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</si>
  <si>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</si>
  <si>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</si>
  <si>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</si>
  <si>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</si>
  <si>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</si>
  <si>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</si>
  <si>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</si>
  <si>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</si>
  <si>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</si>
  <si>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</si>
  <si>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</si>
  <si>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</si>
  <si>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</si>
  <si>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</si>
  <si>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</si>
  <si>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</si>
  <si>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</si>
  <si>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</si>
  <si>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</si>
  <si>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</si>
  <si>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</si>
  <si>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</si>
  <si>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</si>
  <si>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</si>
  <si>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</si>
  <si>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</si>
  <si>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</si>
  <si>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</si>
  <si>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</si>
  <si>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</si>
  <si>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</si>
  <si>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</si>
  <si>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</si>
  <si>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</si>
  <si>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</si>
  <si>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</si>
  <si>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</si>
  <si>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</si>
  <si>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</si>
  <si>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</si>
  <si>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</si>
  <si>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</si>
  <si>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</si>
  <si>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</si>
  <si>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</si>
  <si>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</si>
  <si>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</si>
  <si>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</si>
  <si>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</si>
  <si>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</si>
  <si>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</si>
  <si>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</si>
  <si>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</si>
  <si>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</si>
  <si>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</si>
  <si>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</si>
  <si>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</si>
  <si>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</si>
  <si>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</si>
  <si>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</si>
  <si>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</si>
  <si>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</si>
  <si>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</si>
  <si>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</si>
  <si>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</si>
  <si>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</si>
  <si>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</si>
  <si>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</si>
  <si>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</si>
  <si>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</si>
  <si>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</si>
  <si>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</si>
  <si>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</si>
  <si>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</si>
  <si>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</si>
  <si>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</si>
  <si>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</si>
  <si>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</si>
  <si>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</si>
  <si>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</si>
  <si>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</si>
  <si>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</si>
  <si>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</si>
  <si>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</si>
  <si>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</si>
  <si>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</si>
  <si>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</si>
  <si>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</si>
  <si>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</si>
  <si>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</si>
  <si>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</si>
  <si>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</si>
  <si>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</si>
  <si>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</si>
  <si>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</si>
  <si>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</si>
  <si>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</si>
  <si>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</si>
  <si>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</si>
  <si>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</si>
  <si>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</si>
  <si>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</si>
  <si>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</si>
  <si>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</si>
  <si>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</si>
  <si>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</si>
  <si>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</si>
  <si>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</si>
  <si>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</si>
  <si>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</si>
  <si>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</si>
  <si>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</si>
  <si>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</si>
  <si>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</si>
  <si>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</si>
  <si>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</si>
  <si>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</si>
  <si>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</si>
  <si>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</si>
  <si>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</si>
  <si>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</si>
  <si>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</si>
  <si>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</si>
  <si>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</si>
  <si>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</si>
  <si>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</si>
  <si>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</si>
  <si>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</si>
  <si>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</si>
  <si>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</si>
  <si>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</si>
  <si>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</si>
  <si>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</si>
  <si>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</si>
  <si>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</si>
  <si>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</si>
  <si>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</si>
  <si>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</si>
  <si>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</si>
  <si>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</si>
  <si>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</si>
  <si>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</si>
  <si>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</si>
  <si>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</si>
  <si>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</si>
  <si>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</si>
  <si>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</si>
  <si>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</si>
  <si>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</si>
  <si>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</si>
  <si>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</si>
  <si>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</si>
  <si>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</si>
  <si>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</si>
  <si>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</si>
  <si>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</si>
  <si>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</si>
  <si>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</si>
  <si>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</si>
  <si>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</si>
  <si>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</si>
  <si>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</si>
  <si>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</si>
  <si>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</si>
  <si>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</si>
  <si>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</si>
  <si>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</si>
  <si>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</si>
  <si>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</si>
  <si>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</si>
  <si>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</si>
  <si>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</si>
  <si>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</si>
  <si>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</si>
  <si>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</si>
  <si>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</si>
  <si>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</si>
  <si>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</si>
  <si>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</si>
  <si>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</si>
  <si>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</si>
  <si>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</si>
  <si>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</si>
  <si>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</si>
  <si>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</si>
  <si>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</si>
  <si>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</si>
  <si>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</si>
  <si>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</si>
  <si>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</si>
  <si>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</si>
  <si>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</si>
  <si>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</si>
  <si>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</si>
  <si>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</si>
  <si>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</si>
  <si>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</si>
  <si>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</si>
  <si>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</si>
  <si>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</si>
  <si>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</si>
  <si>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</si>
  <si>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</si>
  <si>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</si>
  <si>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</si>
  <si>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</si>
  <si>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</si>
  <si>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</si>
  <si>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</si>
  <si>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</si>
  <si>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</si>
  <si>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</si>
  <si>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</si>
  <si>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</si>
  <si>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</si>
  <si>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</si>
  <si>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</si>
  <si>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</si>
  <si>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</si>
  <si>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</si>
  <si>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</si>
  <si>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</si>
  <si>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</si>
  <si>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</si>
  <si>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</si>
  <si>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</si>
  <si>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</si>
  <si>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</si>
  <si>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</si>
  <si>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</si>
  <si>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</si>
  <si>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</si>
  <si>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</si>
  <si>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</si>
  <si>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</si>
  <si>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</si>
  <si>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</si>
  <si>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</si>
  <si>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</si>
  <si>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</si>
  <si>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</si>
  <si>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</si>
  <si>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</si>
  <si>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</si>
  <si>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</si>
  <si>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</si>
  <si>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</si>
  <si>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</si>
  <si>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</si>
  <si>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</si>
  <si>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</si>
  <si>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</si>
  <si>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</si>
  <si>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</si>
  <si>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</si>
  <si>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</si>
  <si>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</si>
  <si>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</si>
  <si>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</si>
  <si>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</si>
  <si>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</si>
  <si>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</si>
  <si>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</si>
  <si>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</si>
  <si>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</si>
  <si>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</si>
  <si>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</si>
  <si>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</si>
  <si>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</si>
  <si>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</si>
  <si>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</si>
  <si>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</si>
  <si>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</si>
  <si>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</si>
  <si>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</si>
  <si>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</si>
  <si>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</si>
  <si>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</si>
  <si>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</si>
  <si>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</si>
  <si>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</si>
  <si>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</si>
  <si>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</si>
  <si>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</si>
  <si>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</si>
  <si>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</si>
  <si>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</si>
  <si>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</si>
  <si>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</si>
  <si>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</si>
  <si>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</si>
  <si>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</si>
  <si>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</si>
  <si>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</si>
  <si>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</si>
  <si>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</si>
  <si>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</si>
  <si>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</si>
  <si>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</si>
  <si>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</si>
  <si>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</si>
  <si>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</si>
  <si>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</si>
  <si>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</si>
  <si>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</si>
  <si>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</si>
  <si>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</si>
  <si>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</si>
  <si>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</si>
  <si>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</si>
  <si>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</si>
  <si>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</si>
  <si>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</si>
  <si>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</si>
  <si>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</si>
  <si>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</si>
  <si>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</si>
  <si>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</si>
  <si>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</si>
  <si>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</si>
  <si>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</si>
  <si>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</si>
  <si>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</si>
  <si>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</si>
  <si>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</si>
  <si>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</si>
  <si>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</si>
  <si>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</si>
  <si>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</si>
  <si>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</si>
  <si>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</si>
  <si>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</si>
  <si>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</si>
  <si>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</si>
  <si>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</si>
  <si>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</si>
  <si>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</si>
  <si>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</si>
  <si>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</si>
  <si>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</si>
  <si>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</si>
  <si>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</si>
  <si>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</si>
  <si>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</si>
  <si>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</si>
  <si>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</si>
  <si>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</si>
  <si>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</si>
  <si>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</si>
  <si>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</si>
  <si>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</si>
  <si>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</si>
  <si>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</si>
  <si>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</si>
  <si>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</si>
  <si>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</si>
  <si>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</si>
  <si>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</si>
  <si>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</si>
  <si>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</si>
  <si>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</si>
  <si>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</si>
  <si>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BARCELONA</t>
  </si>
  <si>
    <t>Resumenes por Partidos Judiciales</t>
  </si>
  <si>
    <t>HOSPITALET DE LLOBREGAT, 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</si>
</sst>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IZIoUAcIOO03FCru72P0MiTTXk3Vcly3IcjKjj2oouTLQLhAsxAfJuRklTFsFE7RHiDbU1Gec7rc4BYbOjlgsQ==" saltValue="TNZbSLrLBFiOI6vryFvzi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BARCELONA</v>
      </c>
      <c r="D3" s="374"/>
      <c r="E3" s="374"/>
      <c r="F3" s="374"/>
      <c r="BQ3" s="470"/>
    </row>
    <row r="4" spans="1:69" ht="13.5" thickBot="1">
      <c r="A4" s="374"/>
      <c r="B4" s="390" t="str">
        <f>Criterios!A11 &amp;"  "&amp;Criterios!B11</f>
        <v>Resumenes por Partidos Judiciales  HOSPITALET DE LLOBREGAT, L'</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9</v>
      </c>
      <c r="C9" s="402">
        <f>IF(ISNUMBER(IF(J_V="SI",Datos!I9,Datos!I9+Datos!Y9)),IF(J_V="SI",Datos!I9,Datos!I9+Datos!Y9)," - ")</f>
        <v>16915</v>
      </c>
      <c r="D9" s="403">
        <f>IF(ISNUMBER(C9/Datos!BH9),C9/Datos!BH9," - ")</f>
        <v>1879.4444444444443</v>
      </c>
      <c r="E9" s="402">
        <f>IF(ISNUMBER(IF(J_V="SI",Datos!J9,Datos!J9+Datos!Z9)),IF(J_V="SI",Datos!J9,Datos!J9+Datos!Z9)," - ")</f>
        <v>5742</v>
      </c>
      <c r="F9" s="403">
        <f>IF(ISNUMBER(E9/B9),E9/B9," - ")</f>
        <v>638</v>
      </c>
      <c r="G9" s="402">
        <f>IF(ISNUMBER(IF(J_V="SI",Datos!K9,Datos!K9+Datos!AA9)),IF(J_V="SI",Datos!K9,Datos!K9+Datos!AA9)," - ")</f>
        <v>5926</v>
      </c>
      <c r="H9" s="403">
        <f>IF(ISNUMBER(G9/B9),G9/B9," - ")</f>
        <v>658.44444444444446</v>
      </c>
      <c r="I9" s="402">
        <f>IF(ISNUMBER(IF(J_V="SI",Datos!L9,Datos!L9+Datos!AB9)),IF(J_V="SI",Datos!L9,Datos!L9+Datos!AB9)," - ")</f>
        <v>17149</v>
      </c>
      <c r="J9" s="403">
        <f>IF(ISNUMBER(I9/B9),I9/B9," - ")</f>
        <v>1905.4444444444443</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174</v>
      </c>
      <c r="D10" s="403">
        <f>IF(ISNUMBER(C10/Datos!BH10),C10/Datos!BH10," - ")</f>
        <v>174</v>
      </c>
      <c r="E10" s="402">
        <f>IF(ISNUMBER(Datos!J10),Datos!J10," - ")</f>
        <v>55</v>
      </c>
      <c r="F10" s="403">
        <f>IF(ISNUMBER(E10/B10),E10/B10," - ")</f>
        <v>27.5</v>
      </c>
      <c r="G10" s="402">
        <f>IF(ISNUMBER(Datos!K10),Datos!K10," - ")</f>
        <v>28</v>
      </c>
      <c r="H10" s="403">
        <f>IF(ISNUMBER(G10/B10),G10/B10," - ")</f>
        <v>14</v>
      </c>
      <c r="I10" s="402">
        <f>IF(ISNUMBER(Datos!L10),Datos!L10," - ")</f>
        <v>208</v>
      </c>
      <c r="J10" s="403">
        <f>IF(ISNUMBER(I10/B10),I10/B10," - ")</f>
        <v>104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11</v>
      </c>
      <c r="C13" s="846">
        <f>SUBTOTAL(9,C8:C12)</f>
        <v>17089</v>
      </c>
      <c r="D13" s="847" t="str">
        <f>IF(ISNUMBER(C13/Datos!BI13),C13/Datos!BI13," - ")</f>
        <v xml:space="preserve"> - </v>
      </c>
      <c r="E13" s="846">
        <f>SUBTOTAL(9,E8:E12)</f>
        <v>5797</v>
      </c>
      <c r="F13" s="847">
        <f>IF(ISNUMBER(E13/B13),E13/B13," - ")</f>
        <v>527</v>
      </c>
      <c r="G13" s="846">
        <f>SUBTOTAL(9,G8:G12)</f>
        <v>5954</v>
      </c>
      <c r="H13" s="847">
        <f>IF(ISNUMBER(G13/B13),G13/B13," - ")</f>
        <v>541.27272727272725</v>
      </c>
      <c r="I13" s="846">
        <f>SUBTOTAL(9,I8:I12)</f>
        <v>17357</v>
      </c>
      <c r="J13" s="847">
        <f>IF(ISNUMBER(I13/B13),I13/B13," - ")</f>
        <v>1577.909090909091</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5</v>
      </c>
      <c r="C15" s="402">
        <f>IF(ISNUMBER(IF(D_I="SI",Datos!I15,Datos!I15+Datos!AC15)),IF(D_I="SI",Datos!I15,Datos!I15+Datos!AC15)," - ")</f>
        <v>7150</v>
      </c>
      <c r="D15" s="403">
        <f>IF(ISNUMBER(C15/Datos!BH15),C15/Datos!BH15," - ")</f>
        <v>1430</v>
      </c>
      <c r="E15" s="402">
        <f>IF(ISNUMBER(IF(D_I="SI",Datos!J15,Datos!J15+Datos!AD15)),IF(D_I="SI",Datos!J15,Datos!J15+Datos!AD15)," - ")</f>
        <v>6785</v>
      </c>
      <c r="F15" s="403">
        <f>IF(ISNUMBER(E15/B15),E15/B15," - ")</f>
        <v>1357</v>
      </c>
      <c r="G15" s="402">
        <f>IF(ISNUMBER(IF(D_I="SI",Datos!K15,Datos!K15+Datos!AE15)),IF(D_I="SI",Datos!K15,Datos!K15+Datos!AE15)," - ")</f>
        <v>6594</v>
      </c>
      <c r="H15" s="403">
        <f>IF(ISNUMBER(G15/B15),G15/B15," - ")</f>
        <v>1318.8</v>
      </c>
      <c r="I15" s="402">
        <f>IF(ISNUMBER(IF(D_I="SI",Datos!L15,Datos!L15+Datos!AF15)),IF(D_I="SI",Datos!L15,Datos!L15+Datos!AF15)," - ")</f>
        <v>7366</v>
      </c>
      <c r="J15" s="403">
        <f>IF(ISNUMBER(I15/B15),I15/B15," - ")</f>
        <v>1473.2</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627</v>
      </c>
      <c r="D18" s="403">
        <f>IF(ISNUMBER(C18/Datos!BH18),C18/Datos!BH18," - ")</f>
        <v>627</v>
      </c>
      <c r="E18" s="402">
        <f>IF(ISNUMBER(IF(D_I="SI",Datos!J18,Datos!J18+Datos!AD18)),IF(D_I="SI",Datos!J18,Datos!J18+Datos!AD18)," - ")</f>
        <v>486</v>
      </c>
      <c r="F18" s="403">
        <f>IF(ISNUMBER(E18/B18),E18/B18," - ")</f>
        <v>243</v>
      </c>
      <c r="G18" s="402">
        <f>IF(ISNUMBER(IF(D_I="SI",Datos!K18,Datos!K18+Datos!AE18)),IF(D_I="SI",Datos!K18,Datos!K18+Datos!AE18)," - ")</f>
        <v>450</v>
      </c>
      <c r="H18" s="403">
        <f>IF(ISNUMBER(G18/B18),G18/B18," - ")</f>
        <v>225</v>
      </c>
      <c r="I18" s="402">
        <f>IF(ISNUMBER(IF(D_I="SI",Datos!L18,Datos!L18+Datos!AF18)),IF(D_I="SI",Datos!L18,Datos!L18+Datos!AF18)," - ")</f>
        <v>678</v>
      </c>
      <c r="J18" s="403">
        <f>IF(ISNUMBER(I18/B18),I18/B18," - ")</f>
        <v>339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7</v>
      </c>
      <c r="C19" s="846">
        <f>SUBTOTAL(9,C14:C18)</f>
        <v>7777</v>
      </c>
      <c r="D19" s="847" t="str">
        <f>IF(ISNUMBER(C19/Datos!BI19),C19/Datos!BI19," - ")</f>
        <v xml:space="preserve"> - </v>
      </c>
      <c r="E19" s="846">
        <f>SUBTOTAL(9,E14:E18)</f>
        <v>7271</v>
      </c>
      <c r="F19" s="847">
        <f>IF(ISNUMBER(E19/B19),E19/B19," - ")</f>
        <v>1038.7142857142858</v>
      </c>
      <c r="G19" s="846">
        <f>SUBTOTAL(9,G14:G18)</f>
        <v>7044</v>
      </c>
      <c r="H19" s="847">
        <f>IF(ISNUMBER(G19/B19),G19/B19," - ")</f>
        <v>1006.2857142857143</v>
      </c>
      <c r="I19" s="846">
        <f>SUBTOTAL(9,I14:I18)</f>
        <v>8044</v>
      </c>
      <c r="J19" s="847">
        <f>IF(ISNUMBER(I19/B19),I19/B19," - ")</f>
        <v>1149.1428571428571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16</v>
      </c>
      <c r="C20" s="791">
        <f>SUBTOTAL(9,C9:C19)</f>
        <v>24866</v>
      </c>
      <c r="D20" s="792" t="str">
        <f>IF(ISNUMBER(C20/Datos!BI20),C20/Datos!BI20," - ")</f>
        <v xml:space="preserve"> - </v>
      </c>
      <c r="E20" s="791">
        <f>SUBTOTAL(9,E9:E19)</f>
        <v>13068</v>
      </c>
      <c r="F20" s="792">
        <f>IF(ISNUMBER(E20/B20),E20/B20," - ")</f>
        <v>816.75</v>
      </c>
      <c r="G20" s="791">
        <f>SUBTOTAL(9,G9:G19)</f>
        <v>12998</v>
      </c>
      <c r="H20" s="792">
        <f>IF(ISNUMBER(G20/B20),G20/B20," - ")</f>
        <v>812.375</v>
      </c>
      <c r="I20" s="791">
        <f>SUBTOTAL(9,I9:I19)</f>
        <v>25401</v>
      </c>
      <c r="J20" s="792">
        <f>IF(ISNUMBER(I20/B20),I20/B20," - ")</f>
        <v>1587.5625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SGjBE9Xb1FCTal9fYk7HRsFR8f1Asep7TPErp1pcZ0B/9LbGz6nXdXllaCbppjnw7MeOjuUwYVqXwSP2PIEnnA==" saltValue="FCDqOjUUx4cbAVVYMDYiX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BARCELONA</v>
      </c>
      <c r="C3" s="414"/>
      <c r="F3" s="374"/>
      <c r="G3" s="374"/>
      <c r="H3" s="374"/>
    </row>
    <row r="4" spans="1:15" ht="13.5" thickBot="1">
      <c r="A4" s="374"/>
      <c r="B4" s="390" t="str">
        <f>Criterios!A11 &amp;"  "&amp;Criterios!B11</f>
        <v>Resumenes por Partidos Judiciales  HOSPITALET DE LLOBREGAT, L'</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9</v>
      </c>
      <c r="D9" s="402">
        <f>Datos!BK9</f>
        <v>0</v>
      </c>
      <c r="E9" s="402">
        <f>Datos!AQ9</f>
        <v>9</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2</v>
      </c>
      <c r="D10" s="402">
        <f>Datos!BK10</f>
        <v>0</v>
      </c>
      <c r="E10" s="402">
        <f>Datos!AQ10</f>
        <v>2</v>
      </c>
      <c r="F10" s="403">
        <f>IF(ISNUMBER(E10/Datos!BH10),E10/Datos!BH10," - ")</f>
        <v>2</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5</v>
      </c>
      <c r="D15" s="402">
        <f>Datos!BK15</f>
        <v>0</v>
      </c>
      <c r="E15" s="402">
        <f>Datos!AQ15</f>
        <v>5</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2</v>
      </c>
      <c r="D18" s="402">
        <f>Datos!BK18</f>
        <v>0</v>
      </c>
      <c r="E18" s="402">
        <f>Datos!AQ18</f>
        <v>2</v>
      </c>
      <c r="F18" s="403">
        <f>IF(ISNUMBER(E18/Datos!BH18),E18/Datos!BH18," - ")</f>
        <v>2</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iqwjql/rq9L/v/4KZ2iTQISlPF/vUME5MjjHvi6CV6OvBR8XP/eZu+iZxjHXSgpPtQ7/mhodOksN4sN0MStWEw==" saltValue="J8UryCQ5vaZSDHa4Oq2Y3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BARCELONA</v>
      </c>
      <c r="C3" s="390"/>
      <c r="D3" s="424"/>
      <c r="BZ3" s="470"/>
    </row>
    <row r="4" spans="1:78" ht="13.5" thickBot="1">
      <c r="B4" s="390" t="str">
        <f>Criterios!A11 &amp;"  "&amp;Criterios!B11</f>
        <v>Resumenes por Partidos Judiciales  HOSPITALET DE LLOBREGAT, L'</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9</v>
      </c>
      <c r="C9" s="409">
        <f>Datos!AQ9</f>
        <v>9</v>
      </c>
      <c r="D9" s="402">
        <f>IF(ISNUMBER(Datos!M9),Datos!M9," - ")</f>
        <v>815</v>
      </c>
      <c r="E9" s="403">
        <f t="shared" ref="E9:E13" si="0">IF(ISNUMBER(D9/B9),D9/B9," - ")</f>
        <v>90.555555555555557</v>
      </c>
      <c r="F9" s="402">
        <f>IF(ISNUMBER(Datos!N9),Datos!N9," - ")</f>
        <v>3757</v>
      </c>
      <c r="G9" s="403">
        <f t="shared" ref="G9:G13" si="1">IF(ISNUMBER(F9/B9),F9/B9," - ")</f>
        <v>417.44444444444446</v>
      </c>
      <c r="H9" s="402">
        <f>IF(ISNUMBER(Datos!O9),Datos!O9," - ")</f>
        <v>1907</v>
      </c>
      <c r="I9" s="403">
        <f>IF(ISNUMBER(H9/B9),H9/B9," - ")</f>
        <v>211.88888888888889</v>
      </c>
      <c r="BZ9" s="1181">
        <f>Datos!EZ9</f>
        <v>0</v>
      </c>
    </row>
    <row r="10" spans="1:78">
      <c r="A10" s="401" t="str">
        <f>Datos!A10</f>
        <v>Sección De Violencia sobre la Mujer del TI</v>
      </c>
      <c r="B10" s="426">
        <f>Datos!AO10</f>
        <v>2</v>
      </c>
      <c r="C10" s="409">
        <f>Datos!AQ10</f>
        <v>2</v>
      </c>
      <c r="D10" s="402">
        <f>IF(ISNUMBER(Datos!M10),Datos!M10," - ")</f>
        <v>12</v>
      </c>
      <c r="E10" s="403">
        <f>IF(ISNUMBER(D10/B10),D10/B10," - ")</f>
        <v>6</v>
      </c>
      <c r="F10" s="402">
        <f>IF(ISNUMBER(Datos!N10),Datos!N10," - ")</f>
        <v>13</v>
      </c>
      <c r="G10" s="403">
        <f>IF(ISNUMBER(F10/B10),F10/B10," - ")</f>
        <v>6.5</v>
      </c>
      <c r="H10" s="402">
        <f>IF(ISNUMBER(Datos!O10),Datos!O10," - ")</f>
        <v>3</v>
      </c>
      <c r="I10" s="403">
        <f t="shared" ref="I10:I12" si="2">IF(ISNUMBER(H10/B10),H10/B10," - ")</f>
        <v>1.5</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11</v>
      </c>
      <c r="C13" s="848">
        <f>Datos!AR13</f>
        <v>11</v>
      </c>
      <c r="D13" s="846">
        <f>SUBTOTAL(9,D9:D12)</f>
        <v>827</v>
      </c>
      <c r="E13" s="847">
        <f t="shared" si="0"/>
        <v>75.181818181818187</v>
      </c>
      <c r="F13" s="846">
        <f>SUBTOTAL(9,F9:F12)</f>
        <v>3770</v>
      </c>
      <c r="G13" s="847">
        <f t="shared" si="1"/>
        <v>342.72727272727275</v>
      </c>
      <c r="H13" s="846">
        <f>SUBTOTAL(9,H9:H12)</f>
        <v>1910</v>
      </c>
      <c r="I13" s="847">
        <f>IF(ISNUMBER(H13/B13),H13/B13," - ")</f>
        <v>173.63636363636363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5</v>
      </c>
      <c r="C15" s="427">
        <f>Datos!AQ15</f>
        <v>5</v>
      </c>
      <c r="D15" s="402">
        <f>IF(ISNUMBER(Datos!M15),Datos!M15," - ")</f>
        <v>358</v>
      </c>
      <c r="E15" s="403">
        <f t="shared" ref="E15:E19" si="3">IF(ISNUMBER(D15/B15),D15/B15," - ")</f>
        <v>71.599999999999994</v>
      </c>
      <c r="F15" s="402">
        <f>IF(ISNUMBER(Datos!N15),Datos!N15," - ")</f>
        <v>5304</v>
      </c>
      <c r="G15" s="403">
        <f t="shared" ref="G15:G19" si="4">IF(ISNUMBER(F15/B15),F15/B15," - ")</f>
        <v>1060.8</v>
      </c>
      <c r="H15" s="402">
        <f>IF(ISNUMBER(Datos!O15),Datos!O15," - ")</f>
        <v>17</v>
      </c>
      <c r="I15" s="403">
        <f t="shared" ref="I15:I18" si="5">IF(ISNUMBER(H15/B15),H15/B15," - ")</f>
        <v>3.4</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2</v>
      </c>
      <c r="C18" s="427">
        <f>Datos!AQ18</f>
        <v>2</v>
      </c>
      <c r="D18" s="402">
        <f>IF(ISNUMBER(Datos!M18),Datos!M18," - ")</f>
        <v>47</v>
      </c>
      <c r="E18" s="403">
        <f>IF(ISNUMBER(D18/B18),D18/B18," - ")</f>
        <v>23.5</v>
      </c>
      <c r="F18" s="402">
        <f>IF(ISNUMBER(Datos!N18),Datos!N18," - ")</f>
        <v>238</v>
      </c>
      <c r="G18" s="403">
        <f>IF(ISNUMBER(F18/B18),F18/B18," - ")</f>
        <v>119</v>
      </c>
      <c r="H18" s="402">
        <f>IF(ISNUMBER(Datos!O18),Datos!O18," - ")</f>
        <v>0</v>
      </c>
      <c r="I18" s="403">
        <f t="shared" si="5"/>
        <v>0</v>
      </c>
      <c r="BZ18" s="1181">
        <f>Datos!EZ18</f>
        <v>0</v>
      </c>
    </row>
    <row r="19" spans="1:78" ht="14.25" thickTop="1" thickBot="1">
      <c r="A19" s="845" t="str">
        <f>Datos!A19</f>
        <v>TOTAL</v>
      </c>
      <c r="B19" s="846">
        <f>Datos!AP19</f>
        <v>7</v>
      </c>
      <c r="C19" s="848">
        <f>Datos!AR19</f>
        <v>7</v>
      </c>
      <c r="D19" s="846">
        <f>SUBTOTAL(9,D15:D18)</f>
        <v>405</v>
      </c>
      <c r="E19" s="847">
        <f t="shared" si="3"/>
        <v>57.857142857142854</v>
      </c>
      <c r="F19" s="846">
        <f>SUBTOTAL(9,F15:F18)</f>
        <v>5542</v>
      </c>
      <c r="G19" s="847">
        <f t="shared" si="4"/>
        <v>791.71428571428567</v>
      </c>
      <c r="H19" s="846">
        <f>SUBTOTAL(9,H15:H18)</f>
        <v>17</v>
      </c>
      <c r="I19" s="847">
        <f>IF(ISNUMBER(H19/B19),H19/B19," - ")</f>
        <v>2.4285714285714284</v>
      </c>
      <c r="BZ19" s="1181"/>
    </row>
    <row r="20" spans="1:78" ht="14.25" thickTop="1" thickBot="1">
      <c r="A20" s="790" t="str">
        <f>Datos!A20</f>
        <v>TOTAL JURISDICCIONES</v>
      </c>
      <c r="B20" s="791">
        <f>Datos!AP20</f>
        <v>16</v>
      </c>
      <c r="C20" s="791">
        <f>Datos!AR20</f>
        <v>16</v>
      </c>
      <c r="D20" s="791">
        <f>SUBTOTAL(9,D8:D19)</f>
        <v>1232</v>
      </c>
      <c r="E20" s="792">
        <f>IF(ISNUMBER(D20/B20),D20/B20," - ")</f>
        <v>77</v>
      </c>
      <c r="F20" s="791">
        <f>SUBTOTAL(9,F8:F19)</f>
        <v>9312</v>
      </c>
      <c r="G20" s="792">
        <f>IF(ISNUMBER(F20/B20),F20/B20," - ")</f>
        <v>582</v>
      </c>
      <c r="H20" s="791">
        <f>SUBTOTAL(9,H8:H19)</f>
        <v>1927</v>
      </c>
      <c r="I20" s="792">
        <f>IF(ISNUMBER(H20/B20),H20/B20," - ")</f>
        <v>120.4375</v>
      </c>
    </row>
    <row r="23" spans="1:78">
      <c r="A23" s="390" t="str">
        <f>Criterios!A4</f>
        <v>Fecha Informe: 06 oct. 2026</v>
      </c>
    </row>
    <row r="28" spans="1:78">
      <c r="A28" s="413"/>
    </row>
  </sheetData>
  <sheetProtection algorithmName="SHA-512" hashValue="K7LK8XCmQNd7RNB1odAXvKkTuMXZESv25Md3HNqvaTH9f/qrydvxO5HTm/u+Ym7DFSaZj/xQFhxYgAAlWhqKZw==" saltValue="vMl9oLnQZaAnY9e5jSBy/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BARCELONA</v>
      </c>
    </row>
    <row r="4" spans="1:4" ht="13.5" thickBot="1">
      <c r="B4" s="390" t="str">
        <f>Criterios!A11 &amp;"  "&amp;Criterios!B11</f>
        <v>Resumenes por Partidos Judiciales  HOSPITALET DE LLOBREGAT, L'</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853</v>
      </c>
      <c r="C9" s="433">
        <f>IF(ISNUMBER(Datos!Q9),Datos!Q9," - ")</f>
        <v>759</v>
      </c>
      <c r="D9" s="407">
        <f>IF(ISNUMBER(Datos!R9),Datos!R9," - ")</f>
        <v>16592</v>
      </c>
    </row>
    <row r="10" spans="1:4">
      <c r="A10" s="401" t="str">
        <f>Datos!A10</f>
        <v>Sección De Violencia sobre la Mujer del TI</v>
      </c>
      <c r="B10" s="432">
        <f>IF(ISNUMBER(Datos!P10),Datos!P10," - ")</f>
        <v>11</v>
      </c>
      <c r="C10" s="433">
        <f>IF(ISNUMBER(Datos!Q10),Datos!Q10," - ")</f>
        <v>8</v>
      </c>
      <c r="D10" s="407">
        <f>IF(ISNUMBER(Datos!R10),Datos!R10," - ")</f>
        <v>146</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864</v>
      </c>
      <c r="C13" s="850">
        <f>SUBTOTAL(9,C9:C12)</f>
        <v>767</v>
      </c>
      <c r="D13" s="848">
        <f>SUBTOTAL(9,D9:D12)</f>
        <v>16738</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81</v>
      </c>
      <c r="C15" s="433">
        <f>IF(ISNUMBER(Datos!Q15),Datos!Q15," - ")</f>
        <v>92</v>
      </c>
      <c r="D15" s="407">
        <f>IF(ISNUMBER(Datos!R15),Datos!R15," - ")</f>
        <v>540</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81</v>
      </c>
      <c r="C19" s="850">
        <f>SUBTOTAL(9,C15:C18)</f>
        <v>92</v>
      </c>
      <c r="D19" s="848">
        <f>SUBTOTAL(9,D15:D18)</f>
        <v>540</v>
      </c>
    </row>
    <row r="20" spans="1:4" ht="16.5" customHeight="1" thickTop="1" thickBot="1">
      <c r="A20" s="790" t="str">
        <f>Datos!A20</f>
        <v>TOTAL JURISDICCIONES</v>
      </c>
      <c r="B20" s="795">
        <f>SUBTOTAL(9,B8:B19)</f>
        <v>945</v>
      </c>
      <c r="C20" s="796">
        <f>SUBTOTAL(9,C8:C19)</f>
        <v>859</v>
      </c>
      <c r="D20" s="797">
        <f>SUBTOTAL(9,D8:D19)</f>
        <v>17278</v>
      </c>
    </row>
    <row r="21" spans="1:4" ht="7.5" customHeight="1"/>
    <row r="22" spans="1:4" ht="6" customHeight="1"/>
    <row r="23" spans="1:4">
      <c r="A23" s="390" t="str">
        <f>Criterios!A4</f>
        <v>Fecha Informe: 06 oct. 2026</v>
      </c>
    </row>
    <row r="28" spans="1:4">
      <c r="A28" s="413"/>
    </row>
  </sheetData>
  <sheetProtection algorithmName="SHA-512" hashValue="WVGBkmg+m5FOieZwCvl5w5SR9crH/1Zl1a3Y34fF7PB6YEJ0XO8tlGpYJ3zuiAzkCcrYk3BbRnLhoRBuMnSqeQ==" saltValue="rXWWv1CovpS0NnmyVPw27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BARCELONA</v>
      </c>
    </row>
    <row r="4" spans="1:11" ht="10.5" customHeight="1" thickBot="1">
      <c r="B4" s="390" t="str">
        <f>Criterios!A11 &amp;"  "&amp;Criterios!B11</f>
        <v>Resumenes por Partidos Judiciales  HOSPITALET DE LLOBREGAT, L'</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4.7692784143697736E-2</v>
      </c>
      <c r="C9" s="455">
        <f>IF(ISNUMBER(
   IF(J_V="SI",(Datos!J9-Datos!T9)/Datos!T9,(Datos!J9+Datos!Z9-(Datos!T9+Datos!AH9))/(Datos!T9+Datos!AH9))
     ),IF(J_V="SI",(Datos!J9-Datos!T9)/Datos!T9,(Datos!J9+Datos!Z9-(Datos!T9+Datos!AH9))/(Datos!T9+Datos!AH9))," - ")</f>
        <v>-0.11484507476491444</v>
      </c>
      <c r="D9" s="455">
        <f>IF(ISNUMBER(
   IF(J_V="SI",(Datos!K9-Datos!U9)/Datos!U9,(Datos!K9+Datos!AA9-(Datos!U9+Datos!AI9))/(Datos!U9+Datos!AI9))
     ),IF(J_V="SI",(Datos!K9-Datos!U9)/Datos!U9,(Datos!K9+Datos!AA9-(Datos!U9+Datos!AI9))/(Datos!U9+Datos!AI9))," - ")</f>
        <v>6.7940169399891878E-2</v>
      </c>
      <c r="E9" s="455">
        <f>IF(ISNUMBER(
   IF(J_V="SI",(Datos!L9-Datos!V9)/Datos!V9,(Datos!L9+Datos!AB9-(Datos!V9+Datos!AJ9))/(Datos!V9+Datos!AJ9))
     ),IF(J_V="SI",(Datos!L9-Datos!V9)/Datos!V9,(Datos!L9+Datos!AB9-(Datos!V9+Datos!AJ9))/(Datos!V9+Datos!AJ9))," - ")</f>
        <v>-8.1570820952048013E-4</v>
      </c>
      <c r="F9" s="455">
        <f>IF(ISNUMBER((Datos!M9-Datos!W9)/Datos!W9),(Datos!M9-Datos!W9)/Datos!W9," - ")</f>
        <v>-0.21785028790786948</v>
      </c>
      <c r="G9" s="456">
        <f>IF(ISNUMBER((Datos!N9-Datos!X9)/Datos!X9),(Datos!N9-Datos!X9)/Datos!X9," - ")</f>
        <v>0.10467509556012937</v>
      </c>
      <c r="H9" s="454">
        <f>IF(ISNUMBER(((NºAsuntos!G9/NºAsuntos!E9)-Datos!BD9)/Datos!BD9),((NºAsuntos!G9/NºAsuntos!E9)-Datos!BD9)/Datos!BD9," - ")</f>
        <v>0.20650084968601512</v>
      </c>
      <c r="I9" s="455">
        <f>IF(ISNUMBER(((NºAsuntos!I9/NºAsuntos!G9)-Datos!BE9)/Datos!BE9),((NºAsuntos!I9/NºAsuntos!G9)-Datos!BE9)/Datos!BE9," - ")</f>
        <v>-6.4381769297102376E-2</v>
      </c>
      <c r="J9" s="460">
        <f>IF(ISNUMBER((('Resol  Asuntos'!D9/NºAsuntos!G9)-Datos!BF9)/Datos!BF9),(('Resol  Asuntos'!D9/NºAsuntos!G9)-Datos!BF9)/Datos!BF9," - ")</f>
        <v>-0.77560971277332724</v>
      </c>
      <c r="K9" s="461">
        <f>IF(ISNUMBER((((NºAsuntos!C9+NºAsuntos!E9)/NºAsuntos!G9)-Datos!BG9)/Datos!BG9),(((NºAsuntos!C9+NºAsuntos!E9)/NºAsuntos!G9)-Datos!BG9)/Datos!BG9," - ")</f>
        <v>-6.2583598504329416E-2</v>
      </c>
    </row>
    <row r="10" spans="1:11" ht="21">
      <c r="A10" s="401" t="str">
        <f>Datos!A10</f>
        <v>Sección De Violencia sobre la Mujer del TI</v>
      </c>
      <c r="B10" s="454">
        <f>IF(ISNUMBER((Datos!I10-Datos!S10)/Datos!S10),(Datos!I10-Datos!S10)/Datos!S10," - ")</f>
        <v>0.12258064516129032</v>
      </c>
      <c r="C10" s="455">
        <f>IF(ISNUMBER((Datos!J10-Datos!T10)/Datos!T10),(Datos!J10-Datos!T10)/Datos!T10," - ")</f>
        <v>0.27906976744186046</v>
      </c>
      <c r="D10" s="455">
        <f>IF(ISNUMBER((Datos!K10-Datos!U10)/Datos!U10),(Datos!K10-Datos!U10)/Datos!U10," - ")</f>
        <v>-0.51724137931034486</v>
      </c>
      <c r="E10" s="455">
        <f>IF(ISNUMBER((Datos!L10-Datos!V10)/Datos!V10),(Datos!L10-Datos!V10)/Datos!V10," - ")</f>
        <v>0.48571428571428571</v>
      </c>
      <c r="F10" s="455">
        <f>IF(ISNUMBER((Datos!M10-Datos!W10)/Datos!W10),(Datos!M10-Datos!W10)/Datos!W10," - ")</f>
        <v>-0.625</v>
      </c>
      <c r="G10" s="456">
        <f>IF(ISNUMBER((Datos!N10-Datos!X10)/Datos!X10),(Datos!N10-Datos!X10)/Datos!X10," - ")</f>
        <v>-0.5</v>
      </c>
      <c r="H10" s="454">
        <f>IF(ISNUMBER(((NºAsuntos!G10/NºAsuntos!E10)-Datos!BD10)/Datos!BD10),((NºAsuntos!G10/NºAsuntos!E10)-Datos!BD10)/Datos!BD10," - ")</f>
        <v>-0.62257053291536057</v>
      </c>
      <c r="I10" s="455">
        <f>IF(ISNUMBER(((NºAsuntos!I10/NºAsuntos!G10)-Datos!BE10)/Datos!BE10),((NºAsuntos!I10/NºAsuntos!G10)-Datos!BE10)/Datos!BE10," - ")</f>
        <v>2.0775510204081633</v>
      </c>
      <c r="J10" s="460">
        <f>IF(ISNUMBER((('Resol  Asuntos'!D10/NºAsuntos!G10)-Datos!BF10)/Datos!BF10),(('Resol  Asuntos'!D10/NºAsuntos!G10)-Datos!BF10)/Datos!BF10," - ")</f>
        <v>-0.22321428571428575</v>
      </c>
      <c r="K10" s="461">
        <f>IF(ISNUMBER((((NºAsuntos!C10+NºAsuntos!E10)/NºAsuntos!G10)-Datos!BG10)/Datos!BG10),(((NºAsuntos!C10+NºAsuntos!E10)/NºAsuntos!G10)-Datos!BG10)/Datos!BG10," - ")</f>
        <v>1.395743145743146</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4.8404907975460119E-2</v>
      </c>
      <c r="C13" s="852">
        <f>IF(ISNUMBER(
   IF(J_V="SI",(Datos!J13-Datos!T13)/Datos!T13,(Datos!J13+Datos!Z13-(Datos!T13+Datos!AH13))/(Datos!T13+Datos!AH13))
     ),IF(J_V="SI",(Datos!J13-Datos!T13)/Datos!T13,(Datos!J13+Datos!Z13-(Datos!T13+Datos!AH13))/(Datos!T13+Datos!AH13))," - ")</f>
        <v>-0.11225114854517611</v>
      </c>
      <c r="D13" s="852">
        <f>IF(ISNUMBER(
   IF(J_V="SI",(Datos!K13-Datos!U13)/Datos!U13,(Datos!K13+Datos!AA13-(Datos!U13+Datos!AI13))/(Datos!U13+Datos!AI13))
     ),IF(J_V="SI",(Datos!K13-Datos!U13)/Datos!U13,(Datos!K13+Datos!AA13-(Datos!U13+Datos!AI13))/(Datos!U13+Datos!AI13))," - ")</f>
        <v>6.1886927055466383E-2</v>
      </c>
      <c r="E13" s="852">
        <f>IF(ISNUMBER(
   IF(J_V="SI",(Datos!L13-Datos!V13)/Datos!V13,(Datos!L13+Datos!AB13-(Datos!V13+Datos!AJ13))/(Datos!V13+Datos!AJ13))
     ),IF(J_V="SI",(Datos!L13-Datos!V13)/Datos!V13,(Datos!L13+Datos!AB13-(Datos!V13+Datos!AJ13))/(Datos!V13+Datos!AJ13))," - ")</f>
        <v>3.1208460960527075E-3</v>
      </c>
      <c r="F13" s="853">
        <f>IF(ISNUMBER((Datos!M13-Datos!W13)/Datos!W13),(Datos!M13-Datos!W13)/Datos!W13," - ")</f>
        <v>-0.22998137802607077</v>
      </c>
      <c r="G13" s="854">
        <f>IF(ISNUMBER((Datos!N13-Datos!X13)/Datos!X13),(Datos!N13-Datos!X13)/Datos!X13," - ")</f>
        <v>0.10008754012255618</v>
      </c>
      <c r="H13" s="854">
        <f>IF(ISNUMBER(((NºAsuntos!G13/NºAsuntos!E13)-Datos!BD13)/Datos!BD13),((NºAsuntos!G13/NºAsuntos!E13)-Datos!BD13)/Datos!BD13," - ")</f>
        <v>0.19615691455445838</v>
      </c>
      <c r="I13" s="854">
        <f>IF(ISNUMBER(((NºAsuntos!I13/NºAsuntos!G13)-Datos!BE13)/Datos!BE13),((NºAsuntos!I13/NºAsuntos!G13)-Datos!BE13)/Datos!BE13," - ")</f>
        <v>-5.5341185075484023E-2</v>
      </c>
      <c r="J13" s="854">
        <f>IF(ISNUMBER((('Resol  Asuntos'!D13/NºAsuntos!G13)-Datos!BF13)/Datos!BF13),(('Resol  Asuntos'!D13/NºAsuntos!G13)-Datos!BF13)/Datos!BF13," - ")</f>
        <v>-0.77314234845046126</v>
      </c>
      <c r="K13" s="854">
        <f>IF(ISNUMBER((((NºAsuntos!C13+NºAsuntos!E13)/NºAsuntos!G13)-Datos!BG13)/Datos!BG13),(((NºAsuntos!C13+NºAsuntos!E13)/NºAsuntos!G13)-Datos!BG13)/Datos!BG13," - ")</f>
        <v>-5.5970191088313082E-2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0.46817248459958932</v>
      </c>
      <c r="C15" s="455">
        <f>IF(ISNUMBER(
   IF(D_I="SI",(Datos!J15-Datos!T15)/Datos!T15,(Datos!J15+Datos!AD15-(Datos!T15+Datos!AL15))/(Datos!T15+Datos!AL15))
     ),IF(D_I="SI",(Datos!J15-Datos!T15)/Datos!T15,(Datos!J15+Datos!AD15-(Datos!T15+Datos!AL15))/(Datos!T15+Datos!AL15))," - ")</f>
        <v>-4.1937305845806266E-2</v>
      </c>
      <c r="D15" s="455">
        <f>IF(ISNUMBER(
   IF(D_I="SI",(Datos!K15-Datos!U15)/Datos!U15,(Datos!K15+Datos!AE15-(Datos!U15+Datos!AM15))/(Datos!U15+Datos!AM15))
     ),IF(D_I="SI",(Datos!K15-Datos!U15)/Datos!U15,(Datos!K15+Datos!AE15-(Datos!U15+Datos!AM15))/(Datos!U15+Datos!AM15))," - ")</f>
        <v>-2.9294862358310025E-2</v>
      </c>
      <c r="E15" s="455">
        <f>IF(ISNUMBER(
   IF(D_I="SI",(Datos!L15-Datos!V15)/Datos!V15,(Datos!L15+Datos!AF15-(Datos!V15+Datos!AN15))/(Datos!V15+Datos!AN15))
     ),IF(D_I="SI",(Datos!L15-Datos!V15)/Datos!V15,(Datos!L15+Datos!AF15-(Datos!V15+Datos!AN15))/(Datos!V15+Datos!AN15))," - ")</f>
        <v>0.420088683246578</v>
      </c>
      <c r="F15" s="455">
        <f>IF(ISNUMBER((Datos!M15-Datos!W15)/Datos!W15),(Datos!M15-Datos!W15)/Datos!W15," - ")</f>
        <v>-0.27676767676767677</v>
      </c>
      <c r="G15" s="456">
        <f>IF(ISNUMBER((Datos!N15-Datos!X15)/Datos!X15),(Datos!N15-Datos!X15)/Datos!X15," - ")</f>
        <v>7.6298701298701296E-2</v>
      </c>
      <c r="H15" s="454">
        <f>IF(ISNUMBER(((NºAsuntos!G15/NºAsuntos!E15)-Datos!BD15)/Datos!BD15),((NºAsuntos!G15/NºAsuntos!E15)-Datos!BD15)/Datos!BD15," - ")</f>
        <v>1.3195841529616663E-2</v>
      </c>
      <c r="I15" s="455">
        <f>IF(ISNUMBER(((NºAsuntos!I15/NºAsuntos!G15)-Datos!BE15)/Datos!BE15),((NºAsuntos!I15/NºAsuntos!G15)-Datos!BE15)/Datos!BE15," - ")</f>
        <v>0.46294546941067705</v>
      </c>
      <c r="J15" s="460">
        <f>IF(ISNUMBER((('Resol  Asuntos'!D15/NºAsuntos!G15)-Datos!BF15)/Datos!BF15),(('Resol  Asuntos'!D15/NºAsuntos!G15)-Datos!BF15)/Datos!BF15," - ")</f>
        <v>-0.25494128424064721</v>
      </c>
      <c r="K15" s="461">
        <f>IF(ISNUMBER((((NºAsuntos!C15+NºAsuntos!E15)/NºAsuntos!G15)-Datos!BG15)/Datos!BG15),(((NºAsuntos!C15+NºAsuntos!E15)/NºAsuntos!G15)-Datos!BG15)/Datos!BG15," - ")</f>
        <v>0.20109970515973508</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7.7319587628865982E-2</v>
      </c>
      <c r="C18" s="455">
        <f>IF(ISNUMBER(
   IF(D_I="SI",(Datos!J18-Datos!T18)/Datos!T18,(Datos!J18+Datos!AD18-(Datos!T18+Datos!AL18))/(Datos!T18+Datos!AL18))
     ),IF(D_I="SI",(Datos!J18-Datos!T18)/Datos!T18,(Datos!J18+Datos!AD18-(Datos!T18+Datos!AL18))/(Datos!T18+Datos!AL18))," - ")</f>
        <v>-0.13829787234042554</v>
      </c>
      <c r="D18" s="455">
        <f>IF(ISNUMBER(
   IF(D_I="SI",(Datos!K18-Datos!U18)/Datos!U18,(Datos!K18+Datos!AE18-(Datos!U18+Datos!AM18))/(Datos!U18+Datos!AM18))
     ),IF(D_I="SI",(Datos!K18-Datos!U18)/Datos!U18,(Datos!K18+Datos!AE18-(Datos!U18+Datos!AM18))/(Datos!U18+Datos!AM18))," - ")</f>
        <v>-0.20634920634920634</v>
      </c>
      <c r="E18" s="455">
        <f>IF(ISNUMBER(
   IF(D_I="SI",(Datos!L18-Datos!V18)/Datos!V18,(Datos!L18+Datos!AF18-(Datos!V18+Datos!AN18))/(Datos!V18+Datos!AN18))
     ),IF(D_I="SI",(Datos!L18-Datos!V18)/Datos!V18,(Datos!L18+Datos!AF18-(Datos!V18+Datos!AN18))/(Datos!V18+Datos!AN18))," - ")</f>
        <v>0.25555555555555554</v>
      </c>
      <c r="F18" s="455">
        <f>IF(ISNUMBER((Datos!M18-Datos!W18)/Datos!W18),(Datos!M18-Datos!W18)/Datos!W18," - ")</f>
        <v>0.34285714285714286</v>
      </c>
      <c r="G18" s="456">
        <f>IF(ISNUMBER((Datos!N18-Datos!X18)/Datos!X18),(Datos!N18-Datos!X18)/Datos!X18," - ")</f>
        <v>-8.1081081081081086E-2</v>
      </c>
      <c r="H18" s="454">
        <f>IF(ISNUMBER(((NºAsuntos!G18/NºAsuntos!E18)-Datos!BD18)/Datos!BD18),((NºAsuntos!G18/NºAsuntos!E18)-Datos!BD18)/Datos!BD18," - ")</f>
        <v>-7.8973153047227046E-2</v>
      </c>
      <c r="I18" s="455">
        <f>IF(ISNUMBER(((NºAsuntos!I18/NºAsuntos!G18)-Datos!BE18)/Datos!BE18),((NºAsuntos!I18/NºAsuntos!G18)-Datos!BE18)/Datos!BE18," - ")</f>
        <v>0.58199999999999996</v>
      </c>
      <c r="J18" s="460">
        <f>IF(ISNUMBER((('Resol  Asuntos'!D18/NºAsuntos!G18)-Datos!BF18)/Datos!BF18),(('Resol  Asuntos'!D18/NºAsuntos!G18)-Datos!BF18)/Datos!BF18," - ")</f>
        <v>0.69200000000000017</v>
      </c>
      <c r="K18" s="461">
        <f>IF(ISNUMBER((((NºAsuntos!C18+NºAsuntos!E18)/NºAsuntos!G18)-Datos!BG18)/Datos!BG18),(((NºAsuntos!C18+NºAsuntos!E18)/NºAsuntos!G18)-Datos!BG18)/Datos!BG18," - ")</f>
        <v>0.22371727748691078</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0.42644900953778431</v>
      </c>
      <c r="C19" s="852">
        <f>IF(ISNUMBER(
   IF(Criterios!B14="SI",(Datos!J19-Datos!T19)/Datos!T19,(Datos!J19+Datos!AD19-(Datos!T19+Datos!AL19))/(Datos!T19+Datos!AL19))
     ),IF(Criterios!B14="SI",(Datos!J19-Datos!T19)/Datos!T19,(Datos!J19+Datos!AD19-(Datos!T19+Datos!AL19))/(Datos!T19+Datos!AL19))," - ")</f>
        <v>-4.9045252419565789E-2</v>
      </c>
      <c r="D19" s="852">
        <f>IF(ISNUMBER(
   IF(Criterios!B14="SI",(Datos!K19-Datos!U19)/Datos!U19,(Datos!K19+Datos!AE19-(Datos!U19+Datos!AM19))/(Datos!U19+Datos!AM19))
     ),IF(Criterios!B14="SI",(Datos!K19-Datos!U19)/Datos!U19,(Datos!K19+Datos!AE19-(Datos!U19+Datos!AM19))/(Datos!U19+Datos!AM19))," - ")</f>
        <v>-4.2934782608695654E-2</v>
      </c>
      <c r="E19" s="852">
        <f>IF(ISNUMBER(
   IF(Criterios!B14="SI",(Datos!L19-Datos!V19)/Datos!V19,(Datos!L19+Datos!AF19-(Datos!V19+Datos!AN19))/(Datos!V19+Datos!AN19))
     ),IF(Criterios!B14="SI",(Datos!L19-Datos!V19)/Datos!V19,(Datos!L19+Datos!AF19-(Datos!V19+Datos!AN19))/(Datos!V19+Datos!AN19))," - ")</f>
        <v>0.40457482102322334</v>
      </c>
      <c r="F19" s="853">
        <f>IF(ISNUMBER((Datos!M19-Datos!W19)/Datos!W19),(Datos!M19-Datos!W19)/Datos!W19," - ")</f>
        <v>-0.23584905660377359</v>
      </c>
      <c r="G19" s="854">
        <f>IF(ISNUMBER((Datos!N19-Datos!X19)/Datos!X19),(Datos!N19-Datos!X19)/Datos!X19," - ")</f>
        <v>6.8440331598226337E-2</v>
      </c>
      <c r="H19" s="854">
        <f>IF(ISNUMBER(((NºAsuntos!G19/NºAsuntos!E19)-Datos!BD19)/Datos!BD19),((NºAsuntos!G19/NºAsuntos!E19)-Datos!BD19)/Datos!BD19," - ")</f>
        <v>6.4256157576555095E-3</v>
      </c>
      <c r="I19" s="854">
        <f>IF(ISNUMBER(((NºAsuntos!I19/NºAsuntos!G19)-Datos!BE19)/Datos!BE19),((NºAsuntos!I19/NºAsuntos!G19)-Datos!BE19)/Datos!BE19," - ")</f>
        <v>0.46758527579939313</v>
      </c>
      <c r="J19" s="854">
        <f>IF(ISNUMBER((('Resol  Asuntos'!D19/NºAsuntos!G19)-Datos!BF19)/Datos!BF19),(('Resol  Asuntos'!D19/NºAsuntos!G19)-Datos!BF19)/Datos!BF19," - ")</f>
        <v>-0.20156857703063222</v>
      </c>
      <c r="K19" s="854">
        <f>IF(ISNUMBER((((NºAsuntos!C19+NºAsuntos!E19)/NºAsuntos!G19)-Datos!BG19)/Datos!BG19),(((NºAsuntos!C19+NºAsuntos!E19)/NºAsuntos!G19)-Datos!BG19)/Datos!BG19," - ")</f>
        <v>0.2004173491772025</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0.1431592497241633</v>
      </c>
      <c r="C20" s="799">
        <f>IF(ISNUMBER(
   IF(J_V="SI",(Datos!J20-Datos!T20)/Datos!T20,(Datos!J20+Datos!Z20-(Datos!T20+Datos!AH20))/(Datos!T20+Datos!AH20))
     ),IF(J_V="SI",(Datos!J20-Datos!T20)/Datos!T20,(Datos!J20+Datos!Z20-(Datos!T20+Datos!AH20))/(Datos!T20+Datos!AH20))," - ")</f>
        <v>-7.8160270880361177E-2</v>
      </c>
      <c r="D20" s="799">
        <f>IF(ISNUMBER(
   IF(J_V="SI",(Datos!K20-Datos!U20)/Datos!U20,(Datos!K20+Datos!AA20-(Datos!U20+Datos!AI20))/(Datos!U20+Datos!AI20))
     ),IF(J_V="SI",(Datos!K20-Datos!U20)/Datos!U20,(Datos!K20+Datos!AA20-(Datos!U20+Datos!AI20))/(Datos!U20+Datos!AI20))," - ")</f>
        <v>2.3906840441119763E-3</v>
      </c>
      <c r="E20" s="799">
        <f>IF(ISNUMBER(
   IF(J_V="SI",(Datos!L20-Datos!V20)/Datos!V20,(Datos!L20+Datos!AB20-(Datos!V20+Datos!AJ20))/(Datos!V20+Datos!AJ20))
     ),IF(J_V="SI",(Datos!L20-Datos!V20)/Datos!V20,(Datos!L20+Datos!AB20-(Datos!V20+Datos!AJ20))/(Datos!V20+Datos!AJ20))," - ")</f>
        <v>0.10295267042987408</v>
      </c>
      <c r="F20" s="800">
        <f>IF(ISNUMBER((Datos!M20-Datos!W20)/Datos!W20),(Datos!M20-Datos!W20)/Datos!W20," - ")</f>
        <v>-0.23192019950124687</v>
      </c>
      <c r="G20" s="801">
        <f>IF(ISNUMBER((Datos!N20-Datos!X20)/Datos!X20),(Datos!N20-Datos!X20)/Datos!X20," - ")</f>
        <v>8.1030879962851174E-2</v>
      </c>
      <c r="H20" s="802">
        <f>IF(ISNUMBER((Tasas!B20-Datos!BD20)/Datos!BD20),(Tasas!B20-Datos!BD20)/Datos!BD20," - ")</f>
        <v>8.7380650214977859E-2</v>
      </c>
      <c r="I20" s="803">
        <f>IF(ISNUMBER((Tasas!C20-Datos!BE20)/Datos!BE20),(Tasas!C20-Datos!BE20)/Datos!BE20," - ")</f>
        <v>0.10032214782767938</v>
      </c>
      <c r="J20" s="804">
        <f>IF(ISNUMBER((Tasas!D20-Datos!BF20)/Datos!BF20),(Tasas!D20-Datos!BF20)/Datos!BF20," - ")</f>
        <v>-0.68986583350989727</v>
      </c>
      <c r="K20" s="804">
        <f>IF(ISNUMBER((Tasas!E20-Datos!BG20)/Datos!BG20),(Tasas!E20-Datos!BG20)/Datos!BG20," - ")</f>
        <v>5.3315744857583745E-2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6vEJcGc3580o+YYsq5tqRirwQqVQywrt1cQ8XmlFa7xhBNTLRtQ69mZu3b4vMLHGVtAtC7pj/d/fzPafFNFYLw==" saltValue="PqKwAJU51wpBrEffNai1L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BARCELONA</v>
      </c>
    </row>
    <row r="4" spans="1:7" ht="11.25" customHeight="1" thickBot="1">
      <c r="B4" s="390" t="str">
        <f>Criterios!A11 &amp;"  "&amp;Criterios!B11</f>
        <v>Resumenes por Partidos Judiciales  HOSPITALET DE LLOBREGAT, L'</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1.0320445837687218</v>
      </c>
      <c r="C9" s="442">
        <f>IF(ISNUMBER(NºAsuntos!I9/NºAsuntos!G9),NºAsuntos!I9/NºAsuntos!G9," - ")</f>
        <v>2.8938575767802903</v>
      </c>
      <c r="D9" s="443">
        <f>IF(ISNUMBER('Resol  Asuntos'!D9/NºAsuntos!G9),'Resol  Asuntos'!D9/NºAsuntos!G9," - ")</f>
        <v>0.13752953088086398</v>
      </c>
      <c r="E9" s="444">
        <f>IF(ISNUMBER((NºAsuntos!C9+NºAsuntos!E9)/NºAsuntos!G9),(NºAsuntos!C9+NºAsuntos!E9)/NºAsuntos!G9," - ")</f>
        <v>3.823320958488019</v>
      </c>
      <c r="G9" s="462"/>
    </row>
    <row r="10" spans="1:7" ht="21">
      <c r="A10" s="401" t="str">
        <f>Datos!A10</f>
        <v>Sección De Violencia sobre la Mujer del TI</v>
      </c>
      <c r="B10" s="441">
        <f>IF(ISNUMBER(NºAsuntos!G10/NºAsuntos!E10),NºAsuntos!G10/NºAsuntos!E10," - ")</f>
        <v>0.50909090909090904</v>
      </c>
      <c r="C10" s="442">
        <f>IF(ISNUMBER(NºAsuntos!I10/NºAsuntos!G10),NºAsuntos!I10/NºAsuntos!G10," - ")</f>
        <v>7.4285714285714288</v>
      </c>
      <c r="D10" s="443">
        <f>IF(ISNUMBER('Resol  Asuntos'!D10/NºAsuntos!G10),'Resol  Asuntos'!D10/NºAsuntos!G10," - ")</f>
        <v>0.42857142857142855</v>
      </c>
      <c r="E10" s="444">
        <f>IF(ISNUMBER((NºAsuntos!C10+NºAsuntos!E10)/NºAsuntos!G10),(NºAsuntos!C10+NºAsuntos!E10)/NºAsuntos!G10," - ")</f>
        <v>8.1785714285714288</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1.0270829739520442</v>
      </c>
      <c r="C13" s="856">
        <f>IF(ISNUMBER(NºAsuntos!I13/NºAsuntos!G13),NºAsuntos!I13/NºAsuntos!G13," - ")</f>
        <v>2.9151830702049044</v>
      </c>
      <c r="D13" s="857">
        <f>IF(ISNUMBER('Resol  Asuntos'!D13/NºAsuntos!G13),'Resol  Asuntos'!D13/NºAsuntos!G13," - ")</f>
        <v>0.13889821968424587</v>
      </c>
      <c r="E13" s="858">
        <f>IF(ISNUMBER((NºAsuntos!C13+NºAsuntos!E13)/NºAsuntos!G13),(NºAsuntos!C13+NºAsuntos!E13)/NºAsuntos!G13," - ")</f>
        <v>3.8438024857238831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0.97184966838614595</v>
      </c>
      <c r="C15" s="442">
        <f>IF(ISNUMBER(NºAsuntos!I15/NºAsuntos!G15),NºAsuntos!I15/NºAsuntos!G15," - ")</f>
        <v>1.1170761298149834</v>
      </c>
      <c r="D15" s="443">
        <f>IF(ISNUMBER('Resol  Asuntos'!D15/NºAsuntos!G15),'Resol  Asuntos'!D15/NºAsuntos!G15," - ")</f>
        <v>5.4291780406430089E-2</v>
      </c>
      <c r="E15" s="444">
        <f>IF(ISNUMBER((NºAsuntos!C15+NºAsuntos!E15)/NºAsuntos!G15),(NºAsuntos!C15+NºAsuntos!E15)/NºAsuntos!G15," - ")</f>
        <v>2.1132848043676069</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0.92592592592592593</v>
      </c>
      <c r="C18" s="442">
        <f>IF(ISNUMBER(NºAsuntos!I18/NºAsuntos!G18),NºAsuntos!I18/NºAsuntos!G18," - ")</f>
        <v>1.5066666666666666</v>
      </c>
      <c r="D18" s="443">
        <f>IF(ISNUMBER('Resol  Asuntos'!D18/NºAsuntos!G18),'Resol  Asuntos'!D18/NºAsuntos!G18," - ")</f>
        <v>0.10444444444444445</v>
      </c>
      <c r="E18" s="444">
        <f>IF(ISNUMBER((NºAsuntos!C18+NºAsuntos!E18)/NºAsuntos!G18),(NºAsuntos!C18+NºAsuntos!E18)/NºAsuntos!G18," - ")</f>
        <v>2.4733333333333332</v>
      </c>
      <c r="G18" s="462"/>
    </row>
    <row r="19" spans="1:7" ht="14.25" thickTop="1" thickBot="1">
      <c r="A19" s="845" t="str">
        <f>Datos!A19</f>
        <v>TOTAL</v>
      </c>
      <c r="B19" s="855">
        <f>IF(ISNUMBER(NºAsuntos!G19/NºAsuntos!E19),NºAsuntos!G19/NºAsuntos!E19," - ")</f>
        <v>0.96878008527025172</v>
      </c>
      <c r="C19" s="856">
        <f>IF(ISNUMBER(NºAsuntos!I19/NºAsuntos!G19),NºAsuntos!I19/NºAsuntos!G19," - ")</f>
        <v>1.1419647927314027</v>
      </c>
      <c r="D19" s="859">
        <f>IF(ISNUMBER('Resol  Asuntos'!D19/NºAsuntos!G19),'Resol  Asuntos'!D19/NºAsuntos!G19," - ")</f>
        <v>5.7495741056218061E-2</v>
      </c>
      <c r="E19" s="858">
        <f>IF(ISNUMBER((NºAsuntos!C19+NºAsuntos!E19)/NºAsuntos!G19),(NºAsuntos!C19+NºAsuntos!E19)/NºAsuntos!G19," - ")</f>
        <v>2.1362862010221466</v>
      </c>
      <c r="G19" s="462"/>
    </row>
    <row r="20" spans="1:7" ht="15.75" customHeight="1" thickTop="1" thickBot="1">
      <c r="A20" s="790" t="str">
        <f>Datos!A20</f>
        <v>TOTAL JURISDICCIONES</v>
      </c>
      <c r="B20" s="805">
        <f>IF(ISNUMBER(NºAsuntos!G20/NºAsuntos!E20),NºAsuntos!G20/NºAsuntos!E20," - ")</f>
        <v>0.99464340373431281</v>
      </c>
      <c r="C20" s="806">
        <f>IF(ISNUMBER(NºAsuntos!I20/NºAsuntos!G20),NºAsuntos!I20/NºAsuntos!G20," - ")</f>
        <v>1.9542237267271887</v>
      </c>
      <c r="D20" s="807">
        <f>IF(ISNUMBER('Resol  Asuntos'!D20/NºAsuntos!G20),'Resol  Asuntos'!D20/NºAsuntos!G20," - ")</f>
        <v>9.4783812894291428E-2</v>
      </c>
      <c r="E20" s="808">
        <f>IF(ISNUMBER((NºAsuntos!C20+NºAsuntos!E20)/NºAsuntos!G20),(NºAsuntos!C20+NºAsuntos!E20)/NºAsuntos!G20," - ")</f>
        <v>2.9184489921526389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0gmx2hKN9RDttbP7ZVFSKjSyKF4+IjxF38V+6wcih27370tGVcbpwZRPdYlN+9UykO+Z1OQVwyk3GgNjYXlMHw==" saltValue="aBN5Nb7biD8Nv8yNtUGZB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BARCELONA</v>
      </c>
      <c r="N2" s="261" t="str">
        <f>Criterios!A11 &amp;"  "&amp;Criterios!B11</f>
        <v>Resumenes por Partidos Judiciales  HOSPITALET DE LLOBREGAT, L'</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9</v>
      </c>
      <c r="B9" s="176" t="s">
        <v>247</v>
      </c>
      <c r="C9" s="159" t="str">
        <f>Datos!A9</f>
        <v>Sección Civil del T.I</v>
      </c>
      <c r="D9" s="159"/>
      <c r="E9" s="1020">
        <f>IF(ISNUMBER(Datos!AQ9),Datos!AQ9," - ")</f>
        <v>9</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853</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759</v>
      </c>
      <c r="Y9" s="333">
        <f>SUM(W9:X9)</f>
        <v>759</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16592</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815</v>
      </c>
      <c r="AJ9" s="228" t="str">
        <f>IF(ISNUMBER(Datos!BW9),Datos!BW9," - ")</f>
        <v xml:space="preserve"> - </v>
      </c>
      <c r="AK9" s="227" t="str">
        <f>IF(ISNUMBER(Datos!BX9),Datos!BX9," - ")</f>
        <v xml:space="preserve"> - </v>
      </c>
      <c r="AL9" s="242">
        <f>IF(ISNUMBER(NºAsuntos!G9/NºAsuntos!E9),NºAsuntos!G9/NºAsuntos!E9," - ")</f>
        <v>1.0320445837687218</v>
      </c>
      <c r="AM9" s="259">
        <f>IF(ISNUMBER(((NºAsuntos!I9/NºAsuntos!G9)*11)/factor_trimestre),((NºAsuntos!I9/NºAsuntos!G9)*11)/factor_trimestre," - ")</f>
        <v>8.6815727303408714</v>
      </c>
      <c r="AN9" s="243">
        <f>IF(ISNUMBER('Resol  Asuntos'!D9/NºAsuntos!G9),'Resol  Asuntos'!D9/NºAsuntos!G9," - ")</f>
        <v>0.13752953088086398</v>
      </c>
      <c r="AO9" s="244">
        <f>IF(ISNUMBER((NºAsuntos!C9+NºAsuntos!E9)/NºAsuntos!G9),(NºAsuntos!C9+NºAsuntos!E9)/NºAsuntos!G9," - ")</f>
        <v>3.823320958488019</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2</v>
      </c>
      <c r="F10" s="224">
        <f>IF(ISNUMBER(Datos!L10+Datos!K10-Datos!J10-K10),Datos!L10+Datos!K10-Datos!J10-K10," - ")</f>
        <v>181</v>
      </c>
      <c r="G10" s="332">
        <f>IF(ISNUMBER(Datos!I10),Datos!I10," - ")</f>
        <v>174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28</v>
      </c>
      <c r="X10" s="225">
        <f>IF(ISNUMBER(Datos!Q10),Datos!Q10," - ")</f>
        <v>8</v>
      </c>
      <c r="Y10" s="333">
        <f t="shared" ref="Y10:Y12" si="0">SUM(W10:X10)</f>
        <v>36</v>
      </c>
      <c r="Z10" s="334" t="str">
        <f>IF(ISNUMBER(Datos!CC10),Datos!CC10," - ")</f>
        <v xml:space="preserve"> - </v>
      </c>
      <c r="AA10" s="331">
        <f>IF(ISNUMBER(Datos!L10),Datos!L10,"-")</f>
        <v>208</v>
      </c>
      <c r="AB10" s="333">
        <f>IF(ISNUMBER(Datos!R10),Datos!R10," - ")</f>
        <v>146</v>
      </c>
      <c r="AC10" s="333">
        <f t="shared" ref="AC10:AC12" si="1">IF(ISNUMBER(AA10+AB10),AA10+AB10," - ")</f>
        <v>354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12</v>
      </c>
      <c r="AJ10" s="230" t="str">
        <f>IF(ISNUMBER(Datos!BW10),Datos!BW10," - ")</f>
        <v xml:space="preserve"> - </v>
      </c>
      <c r="AK10" s="231" t="str">
        <f>IF(ISNUMBER(Datos!BX10),Datos!BX10," - ")</f>
        <v xml:space="preserve"> - </v>
      </c>
      <c r="AL10" s="242">
        <f>IF(ISNUMBER(NºAsuntos!G10/NºAsuntos!E10),NºAsuntos!G10/NºAsuntos!E10," - ")</f>
        <v>0.50909090909090904</v>
      </c>
      <c r="AM10" s="259">
        <f>IF(ISNUMBER(((NºAsuntos!I10/NºAsuntos!G10)*11)/factor_trimestre),((NºAsuntos!I10/NºAsuntos!G10)*11)/factor_trimestre," - ")</f>
        <v>22.285714285714288</v>
      </c>
      <c r="AN10" s="243">
        <f>IF(ISNUMBER('Resol  Asuntos'!D10/NºAsuntos!G10),'Resol  Asuntos'!D10/NºAsuntos!G10," - ")</f>
        <v>0.42857142857142855</v>
      </c>
      <c r="AO10" s="244">
        <f>IF(ISNUMBER((NºAsuntos!C10+NºAsuntos!E10)/NºAsuntos!G10),(NºAsuntos!C10+NºAsuntos!E10)/NºAsuntos!G10," - ")</f>
        <v>8.1785714285714288</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11</v>
      </c>
      <c r="F13" s="862">
        <f t="shared" si="3"/>
        <v>181</v>
      </c>
      <c r="G13" s="863">
        <f t="shared" si="3"/>
        <v>174</v>
      </c>
      <c r="H13" s="862">
        <f t="shared" si="3"/>
        <v>0</v>
      </c>
      <c r="I13" s="864">
        <f t="shared" si="3"/>
        <v>0</v>
      </c>
      <c r="J13" s="864">
        <f t="shared" si="3"/>
        <v>0</v>
      </c>
      <c r="K13" s="864">
        <f t="shared" si="3"/>
        <v>0</v>
      </c>
      <c r="L13" s="864">
        <f t="shared" si="3"/>
        <v>864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28</v>
      </c>
      <c r="X13" s="864">
        <f t="shared" si="4"/>
        <v>767</v>
      </c>
      <c r="Y13" s="865">
        <f t="shared" si="4"/>
        <v>795</v>
      </c>
      <c r="Z13" s="865">
        <f t="shared" si="4"/>
        <v>0</v>
      </c>
      <c r="AA13" s="865">
        <f t="shared" si="4"/>
        <v>208</v>
      </c>
      <c r="AB13" s="865">
        <f t="shared" si="4"/>
        <v>16738</v>
      </c>
      <c r="AC13" s="865">
        <f t="shared" si="4"/>
        <v>354</v>
      </c>
      <c r="AD13" s="865">
        <f t="shared" si="4"/>
        <v>0</v>
      </c>
      <c r="AE13" s="869">
        <f t="shared" si="4"/>
        <v>0</v>
      </c>
      <c r="AF13" s="862">
        <f t="shared" si="4"/>
        <v>0</v>
      </c>
      <c r="AG13" s="870">
        <f t="shared" si="4"/>
        <v>0</v>
      </c>
      <c r="AH13" s="867">
        <f t="shared" si="4"/>
        <v>0</v>
      </c>
      <c r="AI13" s="862">
        <f t="shared" si="4"/>
        <v>827</v>
      </c>
      <c r="AJ13" s="864">
        <f t="shared" si="4"/>
        <v>0</v>
      </c>
      <c r="AK13" s="867">
        <f>SUBTOTAL(9,AK9:AK12)</f>
        <v>0</v>
      </c>
      <c r="AL13" s="871">
        <f>IF(ISNUMBER(NºAsuntos!G13/NºAsuntos!E13),NºAsuntos!G13/NºAsuntos!E13," - ")</f>
        <v>1.0270829739520442</v>
      </c>
      <c r="AM13" s="871">
        <f>IF(ISNUMBER(((NºAsuntos!I13/NºAsuntos!G13)*11)/factor_trimestre),((NºAsuntos!I13/NºAsuntos!G13)*11)/factor_trimestre," - ")</f>
        <v>8.7455492106147137</v>
      </c>
      <c r="AN13" s="872">
        <f>IF(ISNUMBER('Resol  Asuntos'!D13/NºAsuntos!G13),'Resol  Asuntos'!D13/NºAsuntos!G13," - ")</f>
        <v>0.13889821968424587</v>
      </c>
      <c r="AO13" s="873">
        <f>IF(ISNUMBER((NºAsuntos!C13+NºAsuntos!E13)/NºAsuntos!G13),(NºAsuntos!C13+NºAsuntos!E13)/NºAsuntos!G13," - ")</f>
        <v>3.8438024857238831</v>
      </c>
      <c r="AP13" s="874" t="str">
        <f t="shared" si="2"/>
        <v xml:space="preserve"> - </v>
      </c>
      <c r="AQ13" s="874">
        <f>IF(ISNUMBER((H13-W13+K13)/(F13)),(H13-W13+K13)/(F13)," - ")</f>
        <v>-0.15469613259668508</v>
      </c>
      <c r="AR13" s="875">
        <f>IF(ISNUMBER((Datos!P13-Datos!Q13)/(Datos!R13-Datos!P13+Datos!Q13)),(Datos!P13-Datos!Q13)/(Datos!R13-Datos!P13+Datos!Q13)," - ")</f>
        <v>5.8289766240009616E-3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5</v>
      </c>
      <c r="B15" s="274" t="s">
        <v>397</v>
      </c>
      <c r="C15" s="159" t="str">
        <f>Datos!A15</f>
        <v xml:space="preserve">Seccion Instruccion Del T.I.                   </v>
      </c>
      <c r="D15" s="159"/>
      <c r="E15" s="1020">
        <f>IF(ISNUMBER(Datos!AQ15),Datos!AQ15," - ")</f>
        <v>5</v>
      </c>
      <c r="F15" s="224">
        <f>IF(ISNUMBER(AA15+W15-Datos!J15-K15),AA15+W15-Datos!J15-K15," - ")</f>
        <v>7175</v>
      </c>
      <c r="G15" s="332">
        <f>IF(ISNUMBER(IF(D_I="SI",Datos!I15,Datos!I15+Datos!AC15)),IF(D_I="SI",Datos!I15,Datos!I15+Datos!AC15)," - ")</f>
        <v>7150</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81</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6594</v>
      </c>
      <c r="X15" s="225">
        <f>IF(ISNUMBER(Datos!Q15),Datos!Q15," - ")</f>
        <v>92</v>
      </c>
      <c r="Y15" s="333">
        <f>SUM(W15)</f>
        <v>6594</v>
      </c>
      <c r="Z15" s="334" t="str">
        <f>IF(ISNUMBER(Datos!CC15),Datos!CC15," - ")</f>
        <v xml:space="preserve"> - </v>
      </c>
      <c r="AA15" s="331">
        <f>IF(ISNUMBER(IF(D_I="SI",Datos!L15,Datos!L15+Datos!AF15)),IF(D_I="SI",Datos!L15,Datos!L15+Datos!AF15)," - ")</f>
        <v>7366</v>
      </c>
      <c r="AB15" s="333">
        <f>IF(ISNUMBER(Datos!R15),Datos!R15," - ")</f>
        <v>540</v>
      </c>
      <c r="AC15" s="333">
        <f t="shared" ref="AC15:AC18" si="6">IF(ISNUMBER(AA15+AB15),AA15+AB15," - ")</f>
        <v>7906</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358</v>
      </c>
      <c r="AJ15" s="230" t="str">
        <f>IF(ISNUMBER(Datos!BW15),Datos!BW15," - ")</f>
        <v xml:space="preserve"> - </v>
      </c>
      <c r="AK15" s="231" t="str">
        <f>IF(ISNUMBER(Datos!BX15),Datos!BX15," - ")</f>
        <v xml:space="preserve"> - </v>
      </c>
      <c r="AL15" s="242">
        <f>IF(ISNUMBER(NºAsuntos!G15/NºAsuntos!E15),NºAsuntos!G15/NºAsuntos!E15," - ")</f>
        <v>0.97184966838614595</v>
      </c>
      <c r="AM15" s="259">
        <f>IF(ISNUMBER(((NºAsuntos!I15/NºAsuntos!G15)*11)/factor_trimestre),((NºAsuntos!I15/NºAsuntos!G15)*11)/factor_trimestre," - ")</f>
        <v>3.3512283894449504</v>
      </c>
      <c r="AN15" s="243">
        <f>IF(ISNUMBER('Resol  Asuntos'!D15/NºAsuntos!G15),'Resol  Asuntos'!D15/NºAsuntos!G15," - ")</f>
        <v>5.4291780406430089E-2</v>
      </c>
      <c r="AO15" s="244">
        <f>IF(ISNUMBER((NºAsuntos!C15+NºAsuntos!E15)/NºAsuntos!G15),(NºAsuntos!C15+NºAsuntos!E15)/NºAsuntos!G15," - ")</f>
        <v>2.1132848043676069</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2</v>
      </c>
      <c r="F18" s="224" t="str">
        <f>IF(ISNUMBER(AA18+W18-H18-K18),AA18+W18-H18-K18," - ")</f>
        <v xml:space="preserve"> - </v>
      </c>
      <c r="G18" s="332">
        <f>IF(ISNUMBER(IF(D_I="SI",Datos!I18,Datos!I18+Datos!AC18)),IF(D_I="SI",Datos!I18,Datos!I18+Datos!AC18)," - ")</f>
        <v>627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450</v>
      </c>
      <c r="X18" s="225">
        <f>IF(ISNUMBER(Datos!Q18),Datos!Q18," - ")</f>
        <v>0</v>
      </c>
      <c r="Y18" s="333">
        <f t="shared" si="9"/>
        <v>450</v>
      </c>
      <c r="Z18" s="334" t="str">
        <f>IF(ISNUMBER(Datos!CC18),Datos!CC18," - ")</f>
        <v xml:space="preserve"> - </v>
      </c>
      <c r="AA18" s="331">
        <f>IF(ISNUMBER(Datos!L18),Datos!L18,"-")</f>
        <v>678</v>
      </c>
      <c r="AB18" s="333">
        <f>IF(ISNUMBER(Datos!R18),Datos!R18," - ")</f>
        <v>0</v>
      </c>
      <c r="AC18" s="333">
        <f t="shared" si="6"/>
        <v>678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47</v>
      </c>
      <c r="AJ18" s="230" t="str">
        <f>IF(ISNUMBER(Datos!BW18),Datos!BW18," - ")</f>
        <v xml:space="preserve"> - </v>
      </c>
      <c r="AK18" s="231" t="str">
        <f>IF(ISNUMBER(Datos!BX18),Datos!BX18," - ")</f>
        <v xml:space="preserve"> - </v>
      </c>
      <c r="AL18" s="242">
        <f>IF(ISNUMBER(NºAsuntos!G18/NºAsuntos!E18),NºAsuntos!G18/NºAsuntos!E18," - ")</f>
        <v>0.92592592592592593</v>
      </c>
      <c r="AM18" s="259">
        <f>IF(ISNUMBER(((NºAsuntos!I18/NºAsuntos!G18)*11)/factor_trimestre),((NºAsuntos!I18/NºAsuntos!G18)*11)/factor_trimestre," - ")</f>
        <v>4.5200000000000005</v>
      </c>
      <c r="AN18" s="243">
        <f>IF(ISNUMBER('Resol  Asuntos'!D18/NºAsuntos!G18),'Resol  Asuntos'!D18/NºAsuntos!G18," - ")</f>
        <v>0.10444444444444445</v>
      </c>
      <c r="AO18" s="244">
        <f>IF(ISNUMBER((NºAsuntos!C18+NºAsuntos!E18)/NºAsuntos!G18),(NºAsuntos!C18+NºAsuntos!E18)/NºAsuntos!G18," - ")</f>
        <v>2.4733333333333332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7</v>
      </c>
      <c r="F19" s="862">
        <f>SUBTOTAL(9,F14:F18)</f>
        <v>7175</v>
      </c>
      <c r="G19" s="863">
        <f>SUBTOTAL(9,G15:G18)</f>
        <v>7777</v>
      </c>
      <c r="H19" s="862">
        <f t="shared" ref="H19:O19" si="12">SUBTOTAL(9,H14:H18)</f>
        <v>0</v>
      </c>
      <c r="I19" s="864">
        <f t="shared" si="12"/>
        <v>0</v>
      </c>
      <c r="J19" s="864">
        <f t="shared" si="12"/>
        <v>0</v>
      </c>
      <c r="K19" s="864">
        <f t="shared" si="12"/>
        <v>0</v>
      </c>
      <c r="L19" s="864">
        <f t="shared" si="12"/>
        <v>81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7044</v>
      </c>
      <c r="X19" s="864">
        <f t="shared" si="13"/>
        <v>92</v>
      </c>
      <c r="Y19" s="865">
        <f t="shared" si="13"/>
        <v>7044</v>
      </c>
      <c r="Z19" s="865">
        <f t="shared" si="13"/>
        <v>0</v>
      </c>
      <c r="AA19" s="865">
        <f t="shared" si="13"/>
        <v>8044</v>
      </c>
      <c r="AB19" s="865">
        <f t="shared" si="13"/>
        <v>540</v>
      </c>
      <c r="AC19" s="865">
        <f t="shared" si="13"/>
        <v>8584</v>
      </c>
      <c r="AD19" s="865">
        <f t="shared" si="13"/>
        <v>0</v>
      </c>
      <c r="AE19" s="869">
        <f t="shared" si="13"/>
        <v>0</v>
      </c>
      <c r="AF19" s="862">
        <f t="shared" si="13"/>
        <v>0</v>
      </c>
      <c r="AG19" s="870">
        <f t="shared" si="13"/>
        <v>0</v>
      </c>
      <c r="AH19" s="867">
        <f t="shared" si="13"/>
        <v>0</v>
      </c>
      <c r="AI19" s="862">
        <f t="shared" si="13"/>
        <v>405</v>
      </c>
      <c r="AJ19" s="864">
        <f t="shared" si="13"/>
        <v>0</v>
      </c>
      <c r="AK19" s="867">
        <f t="shared" si="13"/>
        <v>0</v>
      </c>
      <c r="AL19" s="871">
        <f>IF(ISNUMBER(NºAsuntos!G19/NºAsuntos!E19),NºAsuntos!G19/NºAsuntos!E19," - ")</f>
        <v>0.96878008527025172</v>
      </c>
      <c r="AM19" s="871">
        <f>IF(ISNUMBER(((NºAsuntos!I19/NºAsuntos!G19)*11)/factor_trimestre),((NºAsuntos!I19/NºAsuntos!G19)*11)/factor_trimestre," - ")</f>
        <v>3.4258943781942084</v>
      </c>
      <c r="AN19" s="872">
        <f>IF(ISNUMBER('Resol  Asuntos'!D19/NºAsuntos!G19),'Resol  Asuntos'!D19/NºAsuntos!G19," - ")</f>
        <v>5.7495741056218061E-2</v>
      </c>
      <c r="AO19" s="873">
        <f>IF(ISNUMBER((NºAsuntos!C19+NºAsuntos!E19)/NºAsuntos!G19),(NºAsuntos!C19+NºAsuntos!E19)/NºAsuntos!G19," - ")</f>
        <v>2.1362862010221466</v>
      </c>
      <c r="AP19" s="874" t="str">
        <f t="shared" si="2"/>
        <v xml:space="preserve"> - </v>
      </c>
      <c r="AQ19" s="874">
        <f>IF(ISNUMBER((H19-W19+K19)/(F19)),(H19-W19+K19)/(F19)," - ")</f>
        <v>-0.98174216027874561</v>
      </c>
      <c r="AR19" s="875">
        <f>IF(ISNUMBER((Datos!P19-Datos!Q19)/(Datos!R19-Datos!P19+Datos!Q19)),(Datos!P19-Datos!Q19)/(Datos!R19-Datos!P19+Datos!Q19)," - ")</f>
        <v>-1.9963702359346643E-2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18</v>
      </c>
      <c r="F20" s="817">
        <f t="shared" si="15"/>
        <v>7356</v>
      </c>
      <c r="G20" s="818">
        <f t="shared" si="15"/>
        <v>7951</v>
      </c>
      <c r="H20" s="817">
        <f t="shared" si="15"/>
        <v>0</v>
      </c>
      <c r="I20" s="819">
        <f t="shared" si="15"/>
        <v>0</v>
      </c>
      <c r="J20" s="819">
        <f t="shared" si="15"/>
        <v>0</v>
      </c>
      <c r="K20" s="878">
        <f t="shared" si="15"/>
        <v>0</v>
      </c>
      <c r="L20" s="819">
        <f t="shared" si="15"/>
        <v>945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7072</v>
      </c>
      <c r="X20" s="818">
        <f t="shared" si="16"/>
        <v>859</v>
      </c>
      <c r="Y20" s="825">
        <f t="shared" si="16"/>
        <v>7839</v>
      </c>
      <c r="Z20" s="825">
        <f t="shared" si="16"/>
        <v>0</v>
      </c>
      <c r="AA20" s="825">
        <f t="shared" si="16"/>
        <v>8252</v>
      </c>
      <c r="AB20" s="825">
        <f t="shared" si="16"/>
        <v>17278</v>
      </c>
      <c r="AC20" s="825">
        <f t="shared" si="16"/>
        <v>8938</v>
      </c>
      <c r="AD20" s="825">
        <f t="shared" si="16"/>
        <v>0</v>
      </c>
      <c r="AE20" s="827">
        <f t="shared" si="16"/>
        <v>0</v>
      </c>
      <c r="AF20" s="828">
        <f t="shared" si="16"/>
        <v>0</v>
      </c>
      <c r="AG20" s="829">
        <f t="shared" si="16"/>
        <v>0</v>
      </c>
      <c r="AH20" s="827">
        <f t="shared" si="16"/>
        <v>0</v>
      </c>
      <c r="AI20" s="817">
        <f t="shared" si="16"/>
        <v>1232</v>
      </c>
      <c r="AJ20" s="817">
        <f t="shared" si="16"/>
        <v>0</v>
      </c>
      <c r="AK20" s="827">
        <f t="shared" si="16"/>
        <v>0</v>
      </c>
      <c r="AL20" s="881">
        <f>IF(ISNUMBER(NºAsuntos!G20/NºAsuntos!E20),NºAsuntos!G20/NºAsuntos!E20," - ")</f>
        <v>0.99464340373431281</v>
      </c>
      <c r="AM20" s="882">
        <f>IF(ISNUMBER(((NºAsuntos!I20/NºAsuntos!G20)*11)/factor_trimestre),((NºAsuntos!I20/NºAsuntos!G20)*11)/factor_trimestre," - ")</f>
        <v>5.8626711801815663</v>
      </c>
      <c r="AN20" s="882">
        <f>IF(ISNUMBER('Resol  Asuntos'!D20/NºAsuntos!G20),'Resol  Asuntos'!D20/NºAsuntos!G20," - ")</f>
        <v>9.4783812894291428E-2</v>
      </c>
      <c r="AO20" s="883">
        <f>IF(ISNUMBER((NºAsuntos!C20+NºAsuntos!E20)/NºAsuntos!G20),(NºAsuntos!C20+NºAsuntos!E20)/NºAsuntos!G20," - ")</f>
        <v>2.9184489921526389</v>
      </c>
      <c r="AP20" s="884" t="str">
        <f t="shared" si="2"/>
        <v xml:space="preserve"> - </v>
      </c>
      <c r="AQ20" s="885">
        <f>IF(OR(ISNUMBER(FIND("01",Criterios!A8,1)),ISNUMBER(FIND("02",Criterios!A8,1)),ISNUMBER(FIND("03",Criterios!A8,1)),ISNUMBER(FIND("04",Criterios!A8,1))),(I20-W20+K20)/(F20-K20),(H20-W20+K20)/(F20-K20))</f>
        <v>-0.96139206090266449</v>
      </c>
      <c r="AR20" s="886">
        <f>IF(ISNUMBER((Datos!P20-Datos!Q20)/(Datos!R20-Datos!P20+Datos!Q20)),(Datos!P20-Datos!Q20)/(Datos!R20-Datos!P20+Datos!Q20)," - ")</f>
        <v>5.0023266635644487E-3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3180.4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4.1419265512024177</v>
      </c>
      <c r="F22" s="251">
        <f>IF(ISNUMBER(STDEV(F8:F19)),STDEV(F8:F19),"-")</f>
        <v>4037.9877827122427</v>
      </c>
      <c r="G22" s="252">
        <f>IF(ISNUMBER(STDEV(G8:G19)),STDEV(G8:G19),"-")</f>
        <v>3920.5608399819534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3650.0785197033774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355.19384379049518</v>
      </c>
      <c r="AJ22" s="251">
        <f t="shared" si="20"/>
        <v>0</v>
      </c>
      <c r="AK22" s="253">
        <f t="shared" si="20"/>
        <v>0</v>
      </c>
      <c r="AL22" s="248">
        <f t="shared" si="20"/>
        <v>0.19837311316257078</v>
      </c>
      <c r="AM22" s="249">
        <f t="shared" si="20"/>
        <v>7.1865981085242456</v>
      </c>
      <c r="AN22" s="249">
        <f t="shared" si="20"/>
        <v>0.13971262354208683</v>
      </c>
      <c r="AO22" s="250">
        <f t="shared" si="20"/>
        <v>2.3038412312052912</v>
      </c>
      <c r="AP22" s="290" t="str">
        <f t="shared" si="20"/>
        <v>-</v>
      </c>
      <c r="AQ22" s="291">
        <f t="shared" si="20"/>
        <v>0.5848098545273821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O+3tonzjzgNvwgO2vmXvGuMW8YO1TnQ+y+Eapx4i4qmgM5vPWEbMArSJp447DtctBszAfjMKM1yGI96mJjTqIQ==" saltValue="Edpi8Dq2JhT9KoJf6Z5Uo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BARCELONA</v>
      </c>
      <c r="E3" s="262"/>
    </row>
    <row r="4" spans="2:20" ht="17.25" customHeight="1" thickBot="1">
      <c r="D4" s="261" t="str">
        <f>Criterios!A11 &amp;"  "&amp;Criterios!B11</f>
        <v>Resumenes por Partidos Judiciales  HOSPITALET DE LLOBREGAT, L'</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-0.21785028790786948</v>
      </c>
      <c r="I9" s="349">
        <f>IF(ISNUMBER((Tasas!C9-Datos!BE9)/Datos!BE9),(Tasas!C9-Datos!BE9)/Datos!BE9," - ")</f>
        <v>-6.4381769297102376E-2</v>
      </c>
      <c r="J9" s="348">
        <f>IF(ISNUMBER((Tasas!D9-Datos!BF9)/Datos!BF9),(Tasas!D9-Datos!BF9)/Datos!BF9," - ")</f>
        <v>-0.77560971277332724</v>
      </c>
      <c r="K9" s="350">
        <f>IF(ISNUMBER((Tasas!E9-Datos!BG9)/Datos!BG9),(Tasas!E9-Datos!BG9)/Datos!BG9," - ")</f>
        <v>-6.2583598504329416E-2</v>
      </c>
      <c r="M9" t="e">
        <f>IF(Monitorios="SI",Datos!CE9,0)</f>
        <v>#REF!</v>
      </c>
      <c r="N9" t="e">
        <f>IF(Monitorios="SI",Datos!CF9,0)</f>
        <v>#REF!</v>
      </c>
      <c r="O9" t="e">
        <f>IF(Monitorios="SI",Datos!CG9,0)</f>
        <v>#REF!</v>
      </c>
      <c r="P9" t="e">
        <f>IF(Monitorios="SI",Datos!CH9,0)</f>
        <v>#REF!</v>
      </c>
      <c r="Q9">
        <f>IF(J_V="SI",0,Datos!AG9)</f>
        <v>373</v>
      </c>
      <c r="R9">
        <f>IF(J_V="SI",0,Datos!AH9)</f>
        <v>282</v>
      </c>
      <c r="S9">
        <f>IF(J_V="SI",0,Datos!AI9)</f>
        <v>264</v>
      </c>
      <c r="T9">
        <f>IF(J_V="SI",0,Datos!AJ9)</f>
        <v>334</v>
      </c>
    </row>
    <row r="10" spans="2:20" ht="14.25">
      <c r="B10" s="274" t="s">
        <v>247</v>
      </c>
      <c r="C10" s="7" t="str">
        <f>Datos!A10</f>
        <v>Sección De Violencia sobre la Mujer del TI</v>
      </c>
      <c r="D10" s="351">
        <f>IF(ISNUMBER((Datos!I10-Datos!S10)/Datos!S10),(Datos!I10-Datos!S10)/Datos!S10," - ")</f>
        <v>0.12258064516129032</v>
      </c>
      <c r="E10" s="347">
        <f>IF(ISNUMBER((Datos!J10-Datos!T10)/Datos!T10),(Datos!J10-Datos!T10)/Datos!T10," - ")</f>
        <v>0.27906976744186046</v>
      </c>
      <c r="F10" s="347">
        <f>IF(ISNUMBER((Datos!K10-Datos!U10)/Datos!U10),(Datos!K10-Datos!U10)/Datos!U10," - ")</f>
        <v>-0.51724137931034486</v>
      </c>
      <c r="G10" s="348">
        <f>IF(ISNUMBER((Datos!L10-Datos!V10)/Datos!V10),(Datos!L10-Datos!V10)/Datos!V10," - ")</f>
        <v>0.48571428571428571</v>
      </c>
      <c r="H10" s="229">
        <f>IF(ISNUMBER((Datos!M10-Datos!W10)/Datos!W10),(Datos!M10-Datos!W10)/Datos!W10," - ")</f>
        <v>-0.625</v>
      </c>
      <c r="I10" s="349">
        <f>IF(ISNUMBER((Tasas!C10-Datos!BE10)/Datos!BE10),(Tasas!C10-Datos!BE10)/Datos!BE10," - ")</f>
        <v>2.0775510204081633</v>
      </c>
      <c r="J10" s="348">
        <f>IF(ISNUMBER((Tasas!D10-Datos!BF10)/Datos!BF10),(Tasas!D10-Datos!BF10)/Datos!BF10," - ")</f>
        <v>-0.22321428571428575</v>
      </c>
      <c r="K10" s="350">
        <f>IF(ISNUMBER((Tasas!E10-Datos!BG10)/Datos!BG10),(Tasas!E10-Datos!BG10)/Datos!BG10," - ")</f>
        <v>1.395743145743146</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-0.22998137802607077</v>
      </c>
      <c r="I13" s="356">
        <f>IF(ISNUMBER((Tasas!C13-Datos!BE13)/Datos!BE13),(Tasas!C13-Datos!BE13)/Datos!BE13," - ")</f>
        <v>-5.5341185075484023E-2</v>
      </c>
      <c r="J13" s="354">
        <f>IF(ISNUMBER((Tasas!D13-Datos!BF13)/Datos!BF13),(Tasas!D13-Datos!BF13)/Datos!BF13," - ")</f>
        <v>-0.77314234845046126</v>
      </c>
      <c r="K13" s="357">
        <f>IF(ISNUMBER((Tasas!E13-Datos!BG13)/Datos!BG13),(Tasas!E13-Datos!BG13)/Datos!BG13," - ")</f>
        <v>-5.5970191088313082E-2</v>
      </c>
      <c r="M13" t="e">
        <f>IF(Monitorios="SI",Datos!CE13,0)</f>
        <v>#REF!</v>
      </c>
      <c r="N13" t="e">
        <f>IF(Monitorios="SI",Datos!CF13,0)</f>
        <v>#REF!</v>
      </c>
      <c r="O13" t="e">
        <f>IF(Monitorios="SI",Datos!CG13,0)</f>
        <v>#REF!</v>
      </c>
      <c r="P13" t="e">
        <f>IF(Monitorios="SI",Datos!CH13,0)</f>
        <v>#REF!</v>
      </c>
      <c r="Q13">
        <f>IF(J_V="SI",0,Datos!AG13)</f>
        <v>373</v>
      </c>
      <c r="R13">
        <f>IF(J_V="SI",0,Datos!AH13)</f>
        <v>282</v>
      </c>
      <c r="S13">
        <f>IF(J_V="SI",0,Datos!AI13)</f>
        <v>264</v>
      </c>
      <c r="T13">
        <f>IF(J_V="SI",0,Datos!AJ13)</f>
        <v>334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0.46817248459958932</v>
      </c>
      <c r="E15" s="347">
        <f>IF(ISNUMBER(
   IF(D_I="SI",(Datos!J15-Datos!T15)/Datos!T15,(Datos!J15+Datos!AD15-(Datos!T15+Datos!AL15))/(Datos!T15+Datos!AL15))
     ),IF(D_I="SI",(Datos!J15-Datos!T15)/Datos!T15,(Datos!J15+Datos!AD15-(Datos!T15+Datos!AL15))/(Datos!T15+Datos!AL15))," - ")</f>
        <v>-4.1937305845806266E-2</v>
      </c>
      <c r="F15" s="347">
        <f>IF(ISNUMBER(
   IF(D_I="SI",(Datos!K15-Datos!U15)/Datos!U15,(Datos!K15+Datos!AE15-(Datos!U15+Datos!AM15))/(Datos!U15+Datos!AM15))
     ),IF(D_I="SI",(Datos!K15-Datos!U15)/Datos!U15,(Datos!K15+Datos!AE15-(Datos!U15+Datos!AM15))/(Datos!U15+Datos!AM15))," - ")</f>
        <v>-2.9294862358310025E-2</v>
      </c>
      <c r="G15" s="348">
        <f>IF(ISNUMBER(
   IF(D_I="SI",(Datos!L15-Datos!V15)/Datos!V15,(Datos!L15+Datos!AF15-(Datos!V15+Datos!AN15))/(Datos!V15+Datos!AN15))
     ),IF(D_I="SI",(Datos!L15-Datos!V15)/Datos!V15,(Datos!L15+Datos!AF15-(Datos!V15+Datos!AN15))/(Datos!V15+Datos!AN15))," - ")</f>
        <v>0.420088683246578</v>
      </c>
      <c r="H15" s="229">
        <f>IF(ISNUMBER((Datos!M15-Datos!W15)/Datos!W15),(Datos!M15-Datos!W15)/Datos!W15," - ")</f>
        <v>-0.27676767676767677</v>
      </c>
      <c r="I15" s="349">
        <f>IF(ISNUMBER((Tasas!C15-Datos!BE15)/Datos!BE15),(Tasas!C15-Datos!BE15)/Datos!BE15," - ")</f>
        <v>0.46294546941067705</v>
      </c>
      <c r="J15" s="348">
        <f>IF(ISNUMBER((Tasas!D15-Datos!BF15)/Datos!BF15),(Tasas!D15-Datos!BF15)/Datos!BF15," - ")</f>
        <v>-0.25494128424064721</v>
      </c>
      <c r="K15" s="350">
        <f>IF(ISNUMBER((Tasas!E15-Datos!BG15)/Datos!BG15),(Tasas!E15-Datos!BG15)/Datos!BG15," - ")</f>
        <v>0.20109970515973508</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7.7319587628865982E-2</v>
      </c>
      <c r="E18" s="347">
        <f>IF(ISNUMBER(
   IF(D_I="SI",(Datos!J18-Datos!T18)/Datos!T18,(Datos!J18+Datos!AD18-(Datos!T18+Datos!AL18))/(Datos!T18+Datos!AL18))
     ),IF(D_I="SI",(Datos!J18-Datos!T18)/Datos!T18,(Datos!J18+Datos!AD18-(Datos!T18+Datos!AL18))/(Datos!T18+Datos!AL18))," - ")</f>
        <v>-0.13829787234042554</v>
      </c>
      <c r="F18" s="347">
        <f>IF(ISNUMBER(
   IF(D_I="SI",(Datos!K18-Datos!U18)/Datos!U18,(Datos!K18+Datos!AE18-(Datos!U18+Datos!AM18))/(Datos!U18+Datos!AM18))
     ),IF(D_I="SI",(Datos!K18-Datos!U18)/Datos!U18,(Datos!K18+Datos!AE18-(Datos!U18+Datos!AM18))/(Datos!U18+Datos!AM18))," - ")</f>
        <v>-0.20634920634920634</v>
      </c>
      <c r="G18" s="348">
        <f>IF(ISNUMBER(
   IF(D_I="SI",(Datos!L18-Datos!V18)/Datos!V18,(Datos!L18+Datos!AF18-(Datos!V18+Datos!AN18))/(Datos!V18+Datos!AN18))
     ),IF(D_I="SI",(Datos!L18-Datos!V18)/Datos!V18,(Datos!L18+Datos!AF18-(Datos!V18+Datos!AN18))/(Datos!V18+Datos!AN18))," - ")</f>
        <v>0.25555555555555554</v>
      </c>
      <c r="H18" s="229">
        <f>IF(ISNUMBER((Datos!M18-Datos!W18)/Datos!W18),(Datos!M18-Datos!W18)/Datos!W18," - ")</f>
        <v>0.34285714285714286</v>
      </c>
      <c r="I18" s="349">
        <f>IF(ISNUMBER((Tasas!C18-Datos!BE18)/Datos!BE18),(Tasas!C18-Datos!BE18)/Datos!BE18," - ")</f>
        <v>0.58199999999999996</v>
      </c>
      <c r="J18" s="348">
        <f>IF(ISNUMBER((Tasas!D18-Datos!BF18)/Datos!BF18),(Tasas!D18-Datos!BF18)/Datos!BF18," - ")</f>
        <v>0.69200000000000017</v>
      </c>
      <c r="K18" s="350">
        <f>IF(ISNUMBER((Tasas!E18-Datos!BG18)/Datos!BG18),(Tasas!E18-Datos!BG18)/Datos!BG18," - ")</f>
        <v>0.22371727748691078</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0.42644900953778431</v>
      </c>
      <c r="E19" s="353">
        <f>IF(ISNUMBER(
   IF(D_I="SI",(Datos!J19-Datos!T19)/Datos!T19,(Datos!J19+Datos!AD19-(Datos!T19+Datos!AL19))/(Datos!T19+Datos!AL19))
     ),IF(D_I="SI",(Datos!J19-Datos!T19)/Datos!T19,(Datos!J19+Datos!AD19-(Datos!T19+Datos!AL19))/(Datos!T19+Datos!AL19))," - ")</f>
        <v>-4.9045252419565789E-2</v>
      </c>
      <c r="F19" s="353">
        <f>IF(ISNUMBER(
   IF(D_I="SI",(Datos!K19-Datos!U19)/Datos!U19,(Datos!K19+Datos!AE19-(Datos!U19+Datos!AM19))/(Datos!U19+Datos!AM19))
     ),IF(D_I="SI",(Datos!K19-Datos!U19)/Datos!U19,(Datos!K19+Datos!AE19-(Datos!U19+Datos!AM19))/(Datos!U19+Datos!AM19))," - ")</f>
        <v>-4.2934782608695654E-2</v>
      </c>
      <c r="G19" s="354">
        <f>IF(ISNUMBER(
   IF(D_I="SI",(Datos!L19-Datos!V19)/Datos!V19,(Datos!L19+Datos!AF19-(Datos!V19+Datos!AN19))/(Datos!V19+Datos!AN19))
     ),IF(D_I="SI",(Datos!L19-Datos!V19)/Datos!V19,(Datos!L19+Datos!AF19-(Datos!V19+Datos!AN19))/(Datos!V19+Datos!AN19))," - ")</f>
        <v>0.40457482102322334</v>
      </c>
      <c r="H19" s="355">
        <f>IF(ISNUMBER((Datos!M19-Datos!W19)/Datos!W19),(Datos!M19-Datos!W19)/Datos!W19," - ")</f>
        <v>-0.23584905660377359</v>
      </c>
      <c r="I19" s="356">
        <f>IF(ISNUMBER((Tasas!C19-Datos!BE19)/Datos!BE19),(Tasas!C19-Datos!BE19)/Datos!BE19," - ")</f>
        <v>0.46758527579939313</v>
      </c>
      <c r="J19" s="354">
        <f>IF(ISNUMBER((Tasas!D19-Datos!BF19)/Datos!BF19),(Tasas!D19-Datos!BF19)/Datos!BF19," - ")</f>
        <v>-0.20156857703063222</v>
      </c>
      <c r="K19" s="357">
        <f>IF(ISNUMBER((Tasas!E19-Datos!BG19)/Datos!BG19),(Tasas!E19-Datos!BG19)/Datos!BG19," - ")</f>
        <v>0.2004173491772025</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0.1431592497241633</v>
      </c>
      <c r="E20" s="362">
        <f>IF(ISNUMBER(
   IF(J_V="SI",(Datos!J20-Datos!T20)/Datos!T20,(Datos!J20+Datos!Z20-(Datos!T20+Datos!AH20))/(Datos!T20+Datos!AH20))
     ),IF(J_V="SI",(Datos!J20-Datos!T20)/Datos!T20,(Datos!J20+Datos!Z20-(Datos!T20+Datos!AH20))/(Datos!T20+Datos!AH20))," - ")</f>
        <v>-7.8160270880361177E-2</v>
      </c>
      <c r="F20" s="362">
        <f>IF(ISNUMBER(
   IF(J_V="SI",(Datos!K20-Datos!U20)/Datos!U20,(Datos!K20+Datos!AA20-(Datos!U20+Datos!AI20))/(Datos!U20+Datos!AI20))
     ),IF(J_V="SI",(Datos!K20-Datos!U20)/Datos!U20,(Datos!K20+Datos!AA20-(Datos!U20+Datos!AI20))/(Datos!U20+Datos!AI20))," - ")</f>
        <v>2.3906840441119763E-3</v>
      </c>
      <c r="G20" s="363">
        <f>IF(ISNUMBER(
   IF(J_V="SI",(Datos!L20-Datos!V20)/Datos!V20,(Datos!L20+Datos!AB20-(Datos!V20+Datos!AJ20))/(Datos!V20+Datos!AJ20))
     ),IF(J_V="SI",(Datos!L20-Datos!V20)/Datos!V20,(Datos!L20+Datos!AB20-(Datos!V20+Datos!AJ20))/(Datos!V20+Datos!AJ20))," - ")</f>
        <v>0.10295267042987408</v>
      </c>
      <c r="H20" s="364">
        <f>IF(ISNUMBER((Datos!M20-Datos!W20)/Datos!W20),(Datos!M20-Datos!W20)/Datos!W20," - ")</f>
        <v>-0.23192019950124687</v>
      </c>
      <c r="I20" s="361">
        <f>IF(ISNUMBER((Tasas!C20-Datos!BE20)/Datos!BE20),(Tasas!C20-Datos!BE20)/Datos!BE20," - ")</f>
        <v>0.10032214782767938</v>
      </c>
      <c r="J20" s="362">
        <f>IF(ISNUMBER((Tasas!D20-Datos!BF20)/Datos!BF20),(Tasas!D20-Datos!BF20)/Datos!BF20," - ")</f>
        <v>-0.68986583350989727</v>
      </c>
      <c r="K20" s="363">
        <f>IF(ISNUMBER((Tasas!E20-Datos!BG20)/Datos!BG20),(Tasas!E20-Datos!BG20)/Datos!BG20," - ")</f>
        <v>5.3315744857583745E-2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0.20211722142695673</v>
      </c>
      <c r="E22" s="277">
        <f t="shared" si="1"/>
        <v>0.18307618312677251</v>
      </c>
      <c r="F22" s="277">
        <f t="shared" si="1"/>
        <v>0.22692712786372418</v>
      </c>
      <c r="G22" s="278">
        <f t="shared" si="1"/>
        <v>9.7203371429561494E-2</v>
      </c>
      <c r="H22" s="284">
        <f t="shared" si="1"/>
        <v>0.31093809305362913</v>
      </c>
      <c r="I22" s="276">
        <f t="shared" si="1"/>
        <v>0.78585910773406897</v>
      </c>
      <c r="J22" s="277">
        <f t="shared" si="1"/>
        <v>0.53668859278361458</v>
      </c>
      <c r="K22" s="278">
        <f t="shared" si="1"/>
        <v>0.54453710165599711</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9uBGVBJUMPE0dEO5VSvboRWYwaTJH9RyDD7N8oLK9ow+KdlZ8wB0CXJDx7Y71MtyPYgjP8VyJk4iuyT5umvJ2g==" saltValue="sZAreQo5K5/LE5TJSopPt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9</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31.832433344583194</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181</v>
      </c>
      <c r="D10" s="224">
        <f>IF(ISNUMBER(Datos!I10),Datos!I10," - ")</f>
        <v>174</v>
      </c>
      <c r="E10" s="225">
        <f>IF(ISNUMBER(Datos!J10),Datos!J10," - ")</f>
        <v>55</v>
      </c>
      <c r="F10" s="225">
        <f>IF(ISNUMBER(Datos!K10),Datos!K10," - ")</f>
        <v>28</v>
      </c>
      <c r="G10" s="1029" t="str">
        <f>IF(Datos!E10&lt;&gt;"",Datos!E10,Datos!D10)</f>
        <v>37</v>
      </c>
      <c r="H10" s="226">
        <f>IF(ISNUMBER(Datos!L10),Datos!L10," - ")</f>
        <v>208</v>
      </c>
      <c r="I10" s="1039" t="str">
        <f>IF(ISNUMBER(Datos!AS10/Datos!BM10),Datos!AS10/Datos!BM10," - ")</f>
        <v xml:space="preserve"> - </v>
      </c>
      <c r="J10" s="1040">
        <f>IF(ISNUMBER(Datos!BY10/Datos!CN10),Datos!BY10/Datos!CN10," - ")</f>
        <v>0</v>
      </c>
      <c r="K10" s="229">
        <f t="shared" ref="K10:K12" si="1">IF(ISNUMBER((E10-F10)/C10),(E10-F10)/C10," - ")</f>
        <v>0.14917127071823205</v>
      </c>
      <c r="L10" s="1020">
        <f>IF(ISNUMBER(NºAsuntos!I10/NºAsuntos!G10),(NºAsuntos!I10/NºAsuntos!G10)*11," - ")</f>
        <v>81.714285714285722</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181</v>
      </c>
      <c r="D13" s="1044">
        <f>SUBTOTAL(9,D9:D12)</f>
        <v>174</v>
      </c>
      <c r="E13" s="1045">
        <f>SUBTOTAL(9,E9:E12)</f>
        <v>55</v>
      </c>
      <c r="F13" s="1046">
        <f>SUBTOTAL(9,F9:F12)</f>
        <v>28</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5</v>
      </c>
      <c r="B15" s="501" t="str">
        <f>Datos!A15</f>
        <v xml:space="preserve">Seccion Instruccion Del T.I.                   </v>
      </c>
      <c r="C15" s="224">
        <f t="shared" ref="C15:C18" si="2">IF(ISNUMBER(H15-E15+F15),H15-E15+F15," - ")</f>
        <v>7175</v>
      </c>
      <c r="D15" s="224">
        <f>IF(ISNUMBER(IF(D_I="SI",Datos!I15,Datos!I15+Datos!AC15)),IF(D_I="SI",Datos!I15,Datos!I15+Datos!AC15)," - ")</f>
        <v>7150</v>
      </c>
      <c r="E15" s="225">
        <f>IF(ISNUMBER(IF(D_I="SI",Datos!J15,Datos!J15+Datos!AD15)),IF(D_I="SI",Datos!J15,Datos!J15+Datos!AD15)," - ")</f>
        <v>6785</v>
      </c>
      <c r="F15" s="225">
        <f>IF(ISNUMBER(IF(D_I="SI",Datos!K15,Datos!K15+Datos!AE15)),IF(D_I="SI",Datos!K15,Datos!K15+Datos!AE15)," - ")</f>
        <v>6594</v>
      </c>
      <c r="G15" s="1029" t="str">
        <f>IF(Datos!E15&lt;&gt;"",Datos!E15,Datos!D15)</f>
        <v>03</v>
      </c>
      <c r="H15" s="226">
        <f>IF(ISNUMBER(IF(D_I="SI",Datos!L15,Datos!L15+Datos!AF15)),IF(D_I="SI",Datos!L15,Datos!L15+Datos!AF15)," - ")</f>
        <v>7366</v>
      </c>
      <c r="I15" s="1039" t="str">
        <f>IF(ISNUMBER(Datos!AS15/Datos!BM15),Datos!AS15/Datos!BM15," - ")</f>
        <v xml:space="preserve"> - </v>
      </c>
      <c r="J15" s="1040">
        <f>IF(ISNUMBER(Datos!BY15/Datos!CN15),Datos!BY15/Datos!CN15," - ")</f>
        <v>0</v>
      </c>
      <c r="K15" s="229">
        <f t="shared" ref="K15:K18" si="3">IF(ISNUMBER((E15-F15)/C15),(E15-F15)/C15," - ")</f>
        <v>2.662020905923345E-2</v>
      </c>
      <c r="L15" s="1020">
        <f>IF(ISNUMBER(NºAsuntos!I15/NºAsuntos!G15),(NºAsuntos!I15/NºAsuntos!G15)*11," - ")</f>
        <v>12.287837427964817</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642</v>
      </c>
      <c r="D18" s="224">
        <f>IF(ISNUMBER(IF(D_I="SI",Datos!I18,Datos!I18+Datos!AC18)),IF(D_I="SI",Datos!I18,Datos!I18+Datos!AC18)," - ")</f>
        <v>627</v>
      </c>
      <c r="E18" s="225">
        <f>IF(ISNUMBER(IF(D_I="SI",Datos!J18,Datos!J18+Datos!AD18)),IF(D_I="SI",Datos!J18,Datos!J18+Datos!AD18)," - ")</f>
        <v>486</v>
      </c>
      <c r="F18" s="225">
        <f>IF(ISNUMBER(IF(D_I="SI",Datos!K18,Datos!K18+Datos!AE18)),IF(D_I="SI",Datos!K18,Datos!K18+Datos!AE18)," - ")</f>
        <v>450</v>
      </c>
      <c r="G18" s="1029" t="str">
        <f>IF(Datos!E18&lt;&gt;"",Datos!E18,Datos!D18)</f>
        <v>37</v>
      </c>
      <c r="H18" s="226">
        <f>IF(ISNUMBER(IF(D_I="SI",Datos!L18,Datos!L18+Datos!AF18)),IF(D_I="SI",Datos!L18,Datos!L18+Datos!AF18)," - ")</f>
        <v>678</v>
      </c>
      <c r="I18" s="1039" t="str">
        <f>IF(ISNUMBER(Datos!AS18/Datos!BM18),Datos!AS18/Datos!BM18," - ")</f>
        <v xml:space="preserve"> - </v>
      </c>
      <c r="J18" s="1040" t="str">
        <f>IF(ISNUMBER((Datos!BY18+Datos!BZ18)/Datos!CN18),(Datos!BY18+Datos!BZ18)/Datos!CN18," - ")</f>
        <v xml:space="preserve"> - </v>
      </c>
      <c r="K18" s="229">
        <f t="shared" si="3"/>
        <v>5.6074766355140186E-2</v>
      </c>
      <c r="L18" s="1020">
        <f>IF(ISNUMBER(NºAsuntos!I18/NºAsuntos!G18),(NºAsuntos!I18/NºAsuntos!G18)*11," - ")</f>
        <v>16.573333333333334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7817</v>
      </c>
      <c r="D19" s="1044">
        <f>SUBTOTAL(9,D15:D18)</f>
        <v>7777</v>
      </c>
      <c r="E19" s="1045">
        <f>SUBTOTAL(9,E15:E18)</f>
        <v>7271</v>
      </c>
      <c r="F19" s="1045">
        <f>SUBTOTAL(9,F15:F18)</f>
        <v>7044</v>
      </c>
      <c r="G19" s="1047" t="str">
        <f ca="1">INDIRECT(CONCATENATE("G",ROW()-1))</f>
        <v>37</v>
      </c>
      <c r="H19" s="1048">
        <f ca="1">SUMIF(G$14:G18,G19,H$14:H18)</f>
        <v>678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7998</v>
      </c>
      <c r="D20" s="1066">
        <f>SUBTOTAL(9,D9:D19)</f>
        <v>7951</v>
      </c>
      <c r="E20" s="1067">
        <f>SUBTOTAL(9,E9:E19)</f>
        <v>7326</v>
      </c>
      <c r="F20" s="1067">
        <f>SUBTOTAL(9,F9:F19)</f>
        <v>7072</v>
      </c>
      <c r="G20" s="1068"/>
      <c r="H20" s="1069">
        <f ca="1">SUMIF(B9:B19,"TOTAL",H9:H19)</f>
        <v>678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j7vmTnXGhmFLLup90NoU3bVfZk7Xh3Xl+rkZiY+SHNMvmOaYLoUbafgxda5YIpfm1yhj78LiMeHjMC/USS4GnQ==" saltValue="N4xJE4vsTMQ4IRUX9WJTv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oq1NAZo3jgagxS0G5vwtfPrwisUMc5Rr5VP38PXPZYNral5zSUcpAokg8NJuGtAAYf5qoKfEDodkhBNB3xapBw==" saltValue="0poU1Lg6TCvup1m1DUdLt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16203</v>
      </c>
      <c r="J9" s="180">
        <v>5477</v>
      </c>
      <c r="K9" s="180">
        <v>5564</v>
      </c>
      <c r="L9" s="180">
        <v>16534</v>
      </c>
      <c r="M9" s="180">
        <v>815</v>
      </c>
      <c r="N9" s="180">
        <v>3757</v>
      </c>
      <c r="O9" s="180">
        <v>1907</v>
      </c>
      <c r="P9" s="180">
        <v>853</v>
      </c>
      <c r="Q9" s="180">
        <v>759</v>
      </c>
      <c r="R9" s="180">
        <v>16592</v>
      </c>
      <c r="S9" s="180">
        <v>15772</v>
      </c>
      <c r="T9" s="180">
        <v>6205</v>
      </c>
      <c r="U9" s="180">
        <v>5285</v>
      </c>
      <c r="V9" s="180">
        <v>16829</v>
      </c>
      <c r="W9" s="180">
        <v>1042</v>
      </c>
      <c r="X9" s="187">
        <v>3401</v>
      </c>
      <c r="Y9" s="190">
        <v>712</v>
      </c>
      <c r="Z9" s="180">
        <v>265</v>
      </c>
      <c r="AA9" s="180">
        <v>362</v>
      </c>
      <c r="AB9" s="180">
        <v>615</v>
      </c>
      <c r="AC9" s="180">
        <v>0</v>
      </c>
      <c r="AD9" s="180">
        <v>0</v>
      </c>
      <c r="AE9" s="180">
        <v>0</v>
      </c>
      <c r="AF9" s="187">
        <v>0</v>
      </c>
      <c r="AG9" s="190">
        <v>373</v>
      </c>
      <c r="AH9" s="180">
        <v>282</v>
      </c>
      <c r="AI9" s="180">
        <v>264</v>
      </c>
      <c r="AJ9" s="191">
        <v>334</v>
      </c>
      <c r="AK9" s="179">
        <v>0</v>
      </c>
      <c r="AL9" s="180">
        <v>0</v>
      </c>
      <c r="AM9" s="180">
        <v>0</v>
      </c>
      <c r="AN9" s="187">
        <v>0</v>
      </c>
      <c r="AO9" s="257">
        <v>9</v>
      </c>
      <c r="AP9" s="153">
        <v>9</v>
      </c>
      <c r="AQ9" s="153">
        <v>9</v>
      </c>
      <c r="AR9" s="192">
        <v>9</v>
      </c>
      <c r="AS9" s="337" t="s">
        <v>763</v>
      </c>
      <c r="AT9" s="194"/>
      <c r="AU9" s="193"/>
      <c r="AV9" s="194"/>
      <c r="AW9" s="193"/>
      <c r="AX9" s="194"/>
      <c r="AY9" s="123">
        <f>IF(ISNUMBER(IF(J_V="SI",S9,S9+AG9)),IF(J_V="SI",S9,S9+AG9)," - ")</f>
        <v>16145</v>
      </c>
      <c r="AZ9" s="123">
        <f>IF(ISNUMBER(IF(J_V="SI",T9,T9+AH9)),IF(J_V="SI",T9,T9+AH9)," - ")</f>
        <v>6487</v>
      </c>
      <c r="BA9" s="124">
        <f>IF(ISNUMBER(IF(J_V="SI",U9,U9+AI9)),IF(J_V="SI",U9,U9+AI9)," - ")</f>
        <v>5549</v>
      </c>
      <c r="BB9" s="124">
        <f>IF(ISNUMBER(IF(J_V="SI",V9,V9+AJ9)),IF(J_V="SI",V9,V9+AJ9)," - ")</f>
        <v>17163</v>
      </c>
      <c r="BC9" s="125">
        <f>IF(ISNUMBER(X9),X9," - ")</f>
        <v>3401</v>
      </c>
      <c r="BD9" s="126">
        <f>IF(ISNUMBER(BA9/AZ9),BA9/AZ9," - ")</f>
        <v>0.85540311392014801</v>
      </c>
      <c r="BE9" s="127">
        <f>IF(ISNUMBER(BB9/BA9),BB9/BA9, " - ")</f>
        <v>3.0929897278788969</v>
      </c>
      <c r="BF9" s="127">
        <f>IF(ISNUMBER(BC9/BA9),BC9/BA9, " - ")</f>
        <v>0.61290322580645162</v>
      </c>
      <c r="BG9" s="195">
        <f>IF(ISNUMBER((AY9+AZ9)/BA9),(AY9+AZ9)/BA9," - ")</f>
        <v>4.0785727158046496</v>
      </c>
      <c r="BH9" s="153">
        <v>9</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174</v>
      </c>
      <c r="J10" s="180">
        <v>55</v>
      </c>
      <c r="K10" s="180">
        <v>28</v>
      </c>
      <c r="L10" s="180">
        <v>208</v>
      </c>
      <c r="M10" s="180">
        <v>12</v>
      </c>
      <c r="N10" s="180">
        <v>13</v>
      </c>
      <c r="O10" s="180">
        <v>3</v>
      </c>
      <c r="P10" s="180">
        <v>11</v>
      </c>
      <c r="Q10" s="180">
        <v>8</v>
      </c>
      <c r="R10" s="180">
        <v>146</v>
      </c>
      <c r="S10" s="180">
        <v>155</v>
      </c>
      <c r="T10" s="180">
        <v>43</v>
      </c>
      <c r="U10" s="180">
        <v>58</v>
      </c>
      <c r="V10" s="180">
        <v>140</v>
      </c>
      <c r="W10" s="180">
        <v>32</v>
      </c>
      <c r="X10" s="187">
        <v>26</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2</v>
      </c>
      <c r="AQ10" s="153">
        <v>2</v>
      </c>
      <c r="AR10" s="154">
        <v>2</v>
      </c>
      <c r="AS10" s="338" t="s">
        <v>757</v>
      </c>
      <c r="AT10" s="191"/>
      <c r="AU10" s="199"/>
      <c r="AV10" s="191"/>
      <c r="AW10" s="199"/>
      <c r="AX10" s="191"/>
      <c r="AY10" s="128">
        <f t="shared" ref="AY10:BC10" si="0">IF(ISNUMBER(S10),S10," - ")</f>
        <v>155</v>
      </c>
      <c r="AZ10" s="129">
        <f t="shared" si="0"/>
        <v>43</v>
      </c>
      <c r="BA10" s="129">
        <f t="shared" si="0"/>
        <v>58</v>
      </c>
      <c r="BB10" s="129">
        <f t="shared" si="0"/>
        <v>140</v>
      </c>
      <c r="BC10" s="125">
        <f t="shared" si="0"/>
        <v>32</v>
      </c>
      <c r="BD10" s="126">
        <f>IF(ISNUMBER(BA10/AZ10),BA10/AZ10," - ")</f>
        <v>1.3488372093023255</v>
      </c>
      <c r="BE10" s="127">
        <f>IF(ISNUMBER(BB10/BA10),BB10/BA10, " - ")</f>
        <v>2.4137931034482758</v>
      </c>
      <c r="BF10" s="127">
        <f>IF(ISNUMBER(BC10/BA10),BC10/BA10, " - ")</f>
        <v>0.55172413793103448</v>
      </c>
      <c r="BG10" s="195">
        <f>IF(ISNUMBER((AY10+AZ10)/BA10),(AY10+AZ10)/BA10," - ")</f>
        <v>3.4137931034482758</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16377</v>
      </c>
      <c r="J13" s="183">
        <f t="shared" si="6"/>
        <v>5532</v>
      </c>
      <c r="K13" s="183">
        <f t="shared" si="6"/>
        <v>5592</v>
      </c>
      <c r="L13" s="183">
        <f t="shared" si="6"/>
        <v>16742</v>
      </c>
      <c r="M13" s="183">
        <f t="shared" si="6"/>
        <v>827</v>
      </c>
      <c r="N13" s="183">
        <f t="shared" si="6"/>
        <v>3770</v>
      </c>
      <c r="O13" s="183">
        <f t="shared" si="6"/>
        <v>1910</v>
      </c>
      <c r="P13" s="183">
        <f t="shared" si="6"/>
        <v>864</v>
      </c>
      <c r="Q13" s="183">
        <f t="shared" si="6"/>
        <v>767</v>
      </c>
      <c r="R13" s="183">
        <f t="shared" si="6"/>
        <v>16738</v>
      </c>
      <c r="S13" s="183">
        <f t="shared" si="6"/>
        <v>15927</v>
      </c>
      <c r="T13" s="183">
        <f t="shared" si="6"/>
        <v>6248</v>
      </c>
      <c r="U13" s="183">
        <f t="shared" si="6"/>
        <v>5343</v>
      </c>
      <c r="V13" s="183">
        <f t="shared" si="6"/>
        <v>16969</v>
      </c>
      <c r="W13" s="183">
        <f t="shared" si="6"/>
        <v>1074</v>
      </c>
      <c r="X13" s="183">
        <f t="shared" si="6"/>
        <v>3427</v>
      </c>
      <c r="Y13" s="183">
        <f t="shared" si="6"/>
        <v>712</v>
      </c>
      <c r="Z13" s="183">
        <f t="shared" si="6"/>
        <v>265</v>
      </c>
      <c r="AA13" s="183">
        <f t="shared" si="6"/>
        <v>362</v>
      </c>
      <c r="AB13" s="183">
        <f t="shared" si="6"/>
        <v>615</v>
      </c>
      <c r="AC13" s="183">
        <f t="shared" si="6"/>
        <v>0</v>
      </c>
      <c r="AD13" s="183">
        <f t="shared" si="6"/>
        <v>0</v>
      </c>
      <c r="AE13" s="183">
        <f t="shared" si="6"/>
        <v>0</v>
      </c>
      <c r="AF13" s="183">
        <f>SUBTOTAL(9,AF9:AF12)</f>
        <v>0</v>
      </c>
      <c r="AG13" s="183">
        <f t="shared" ref="AG13:AT13" si="7">SUBTOTAL(9,AG8:AG12)</f>
        <v>373</v>
      </c>
      <c r="AH13" s="183">
        <f t="shared" si="7"/>
        <v>282</v>
      </c>
      <c r="AI13" s="183">
        <f t="shared" si="7"/>
        <v>264</v>
      </c>
      <c r="AJ13" s="183">
        <f t="shared" si="7"/>
        <v>334</v>
      </c>
      <c r="AK13" s="183">
        <f t="shared" si="7"/>
        <v>0</v>
      </c>
      <c r="AL13" s="183">
        <f t="shared" si="7"/>
        <v>0</v>
      </c>
      <c r="AM13" s="183">
        <f t="shared" si="7"/>
        <v>0</v>
      </c>
      <c r="AN13" s="183">
        <f t="shared" si="7"/>
        <v>0</v>
      </c>
      <c r="AO13" s="183">
        <f t="shared" si="7"/>
        <v>11</v>
      </c>
      <c r="AP13" s="183">
        <f t="shared" si="7"/>
        <v>11</v>
      </c>
      <c r="AQ13" s="183">
        <f t="shared" si="7"/>
        <v>11</v>
      </c>
      <c r="AR13" s="183">
        <f t="shared" si="7"/>
        <v>11</v>
      </c>
      <c r="AS13" s="183">
        <f t="shared" si="7"/>
        <v>0</v>
      </c>
      <c r="AT13" s="183">
        <f t="shared" si="7"/>
        <v>0</v>
      </c>
      <c r="AU13" s="203"/>
      <c r="AV13" s="132"/>
      <c r="AW13" s="203"/>
      <c r="AX13" s="132"/>
      <c r="AY13" s="183">
        <f>SUBTOTAL(9,AY8:AY12)</f>
        <v>16300</v>
      </c>
      <c r="AZ13" s="183">
        <f>SUBTOTAL(9,AZ8:AZ12)</f>
        <v>6530</v>
      </c>
      <c r="BA13" s="183">
        <f>SUBTOTAL(9,BA8:BA12)</f>
        <v>5607</v>
      </c>
      <c r="BB13" s="183">
        <f>SUBTOTAL(9,BB8:BB12)</f>
        <v>17303</v>
      </c>
      <c r="BC13" s="183">
        <f>SUBTOTAL(9,BC8:BC12)</f>
        <v>3433</v>
      </c>
      <c r="BD13" s="204">
        <f>IF(ISNUMBER(BA13/AZ13),BA13/AZ13," - ")</f>
        <v>0.85865237366003067</v>
      </c>
      <c r="BE13" s="205">
        <f>IF(ISNUMBER(BB13/BA13),BB13/BA13, " - ")</f>
        <v>3.0859639736044229</v>
      </c>
      <c r="BF13" s="205">
        <f>IF(ISNUMBER(BC13/BA13),BC13/BA13, " - ")</f>
        <v>0.61227037631532011</v>
      </c>
      <c r="BG13" s="206">
        <f>IF(ISNUMBER((AY13+AZ13)/BA13),(AY13+AZ13)/BA13," - ")</f>
        <v>4.0716960941680043</v>
      </c>
      <c r="BH13" s="139">
        <f>SUBTOTAL(9,BH8:BH12)</f>
        <v>10</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7150</v>
      </c>
      <c r="J15" s="182">
        <v>6785</v>
      </c>
      <c r="K15" s="182">
        <v>6594</v>
      </c>
      <c r="L15" s="182">
        <v>7366</v>
      </c>
      <c r="M15" s="182">
        <v>358</v>
      </c>
      <c r="N15" s="182">
        <v>5304</v>
      </c>
      <c r="O15" s="180">
        <v>17</v>
      </c>
      <c r="P15" s="182">
        <v>81</v>
      </c>
      <c r="Q15" s="182">
        <v>92</v>
      </c>
      <c r="R15" s="182">
        <v>540</v>
      </c>
      <c r="S15" s="182">
        <v>4870</v>
      </c>
      <c r="T15" s="182">
        <v>7082</v>
      </c>
      <c r="U15" s="182">
        <v>6793</v>
      </c>
      <c r="V15" s="182">
        <v>5187</v>
      </c>
      <c r="W15" s="182">
        <v>495</v>
      </c>
      <c r="X15" s="188">
        <v>4928</v>
      </c>
      <c r="Y15" s="201">
        <v>0</v>
      </c>
      <c r="Z15" s="182">
        <v>0</v>
      </c>
      <c r="AA15" s="182">
        <v>0</v>
      </c>
      <c r="AB15" s="182">
        <v>0</v>
      </c>
      <c r="AC15" s="182">
        <v>7</v>
      </c>
      <c r="AD15" s="182">
        <v>134</v>
      </c>
      <c r="AE15" s="182">
        <v>141</v>
      </c>
      <c r="AF15" s="188">
        <v>0</v>
      </c>
      <c r="AG15" s="201">
        <v>0</v>
      </c>
      <c r="AH15" s="182">
        <v>0</v>
      </c>
      <c r="AI15" s="182">
        <v>0</v>
      </c>
      <c r="AJ15" s="202">
        <v>0</v>
      </c>
      <c r="AK15" s="181">
        <v>54</v>
      </c>
      <c r="AL15" s="182">
        <v>142</v>
      </c>
      <c r="AM15" s="182">
        <v>143</v>
      </c>
      <c r="AN15" s="188">
        <v>53</v>
      </c>
      <c r="AO15" s="258">
        <v>5</v>
      </c>
      <c r="AP15" s="154">
        <v>5</v>
      </c>
      <c r="AQ15" s="154">
        <v>5</v>
      </c>
      <c r="AR15" s="154">
        <v>5</v>
      </c>
      <c r="AS15" s="339" t="s">
        <v>520</v>
      </c>
      <c r="AT15" s="202" t="s">
        <v>327</v>
      </c>
      <c r="AU15" s="201"/>
      <c r="AV15" s="202"/>
      <c r="AW15" s="201"/>
      <c r="AX15" s="202"/>
      <c r="AY15" s="128">
        <f t="shared" ref="AY15:BB17" si="9">IF(ISNUMBER(IF(D_I="SI",S15,S15+AK15)),IF(D_I="SI",S15,S15+AK15)," - ")</f>
        <v>4870</v>
      </c>
      <c r="AZ15" s="129">
        <f t="shared" si="9"/>
        <v>7082</v>
      </c>
      <c r="BA15" s="129">
        <f t="shared" si="9"/>
        <v>6793</v>
      </c>
      <c r="BB15" s="129">
        <f t="shared" si="9"/>
        <v>5187</v>
      </c>
      <c r="BC15" s="125">
        <f>IF(ISNUMBER(W15),W15," - ")</f>
        <v>495</v>
      </c>
      <c r="BD15" s="126">
        <f>IF(ISNUMBER(BA15/AZ15),BA15/AZ15," - ")</f>
        <v>0.95919231855408071</v>
      </c>
      <c r="BE15" s="127">
        <f>IF(ISNUMBER(BB15/BA15),BB15/BA15, " - ")</f>
        <v>0.76358015604298546</v>
      </c>
      <c r="BF15" s="127">
        <f>IF(ISNUMBER(BC15/BA15),BC15/BA15, " - ")</f>
        <v>7.2869129986751061E-2</v>
      </c>
      <c r="BG15" s="195">
        <f t="shared" ref="BG15:BG17" si="10">IF(ISNUMBER((AY15+AZ15)/BA15),(AY15+AZ15)/BA15," - ")</f>
        <v>1.7594582658619167</v>
      </c>
      <c r="BH15" s="154">
        <v>5</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627</v>
      </c>
      <c r="J18" s="182">
        <v>486</v>
      </c>
      <c r="K18" s="182">
        <v>450</v>
      </c>
      <c r="L18" s="182">
        <v>678</v>
      </c>
      <c r="M18" s="182">
        <v>47</v>
      </c>
      <c r="N18" s="182">
        <v>238</v>
      </c>
      <c r="O18" s="182">
        <v>0</v>
      </c>
      <c r="P18" s="182">
        <v>0</v>
      </c>
      <c r="Q18" s="182">
        <v>0</v>
      </c>
      <c r="R18" s="182">
        <v>0</v>
      </c>
      <c r="S18" s="182">
        <v>582</v>
      </c>
      <c r="T18" s="182">
        <v>564</v>
      </c>
      <c r="U18" s="182">
        <v>567</v>
      </c>
      <c r="V18" s="182">
        <v>540</v>
      </c>
      <c r="W18" s="182">
        <v>35</v>
      </c>
      <c r="X18" s="188">
        <v>259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2</v>
      </c>
      <c r="AQ18" s="153">
        <v>2</v>
      </c>
      <c r="AR18" s="154">
        <v>2</v>
      </c>
      <c r="AS18" s="338" t="s">
        <v>879</v>
      </c>
      <c r="AT18" s="208"/>
      <c r="AU18" s="199"/>
      <c r="AV18" s="208"/>
      <c r="AW18" s="199"/>
      <c r="AX18" s="208"/>
      <c r="AY18" s="128">
        <f t="shared" ref="AY18:BB18" si="19">IF(ISNUMBER(S18),S18," - ")</f>
        <v>582</v>
      </c>
      <c r="AZ18" s="129">
        <f t="shared" si="19"/>
        <v>564</v>
      </c>
      <c r="BA18" s="129">
        <f t="shared" si="19"/>
        <v>567</v>
      </c>
      <c r="BB18" s="129">
        <f t="shared" si="19"/>
        <v>540</v>
      </c>
      <c r="BC18" s="125">
        <f>IF(ISNUMBER(W18),W18," - ")</f>
        <v>35</v>
      </c>
      <c r="BD18" s="126">
        <f>IF(ISNUMBER(BA18/AZ18),BA18/AZ18," - ")</f>
        <v>1.0053191489361701</v>
      </c>
      <c r="BE18" s="127">
        <f>IF(ISNUMBER(BB18/BA18),BB18/BA18, " - ")</f>
        <v>0.95238095238095233</v>
      </c>
      <c r="BF18" s="127">
        <f>IF(ISNUMBER(BC18/BA18),BC18/BA18, " - ")</f>
        <v>6.1728395061728392E-2</v>
      </c>
      <c r="BG18" s="195">
        <f>IF(ISNUMBER((AY18+AZ18)/BA18),(AY18+AZ18)/BA18," - ")</f>
        <v>2.0211640211640214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7777</v>
      </c>
      <c r="J19" s="183">
        <f t="shared" si="20"/>
        <v>7271</v>
      </c>
      <c r="K19" s="183">
        <f t="shared" si="20"/>
        <v>7044</v>
      </c>
      <c r="L19" s="183">
        <f t="shared" si="20"/>
        <v>8044</v>
      </c>
      <c r="M19" s="183">
        <f t="shared" si="20"/>
        <v>405</v>
      </c>
      <c r="N19" s="183">
        <f t="shared" si="20"/>
        <v>5542</v>
      </c>
      <c r="O19" s="183">
        <f t="shared" si="20"/>
        <v>17</v>
      </c>
      <c r="P19" s="183">
        <f t="shared" si="20"/>
        <v>81</v>
      </c>
      <c r="Q19" s="183">
        <f t="shared" si="20"/>
        <v>92</v>
      </c>
      <c r="R19" s="183">
        <f t="shared" si="20"/>
        <v>540</v>
      </c>
      <c r="S19" s="183">
        <f t="shared" si="20"/>
        <v>5452</v>
      </c>
      <c r="T19" s="183">
        <f t="shared" si="20"/>
        <v>7646</v>
      </c>
      <c r="U19" s="183">
        <f t="shared" si="20"/>
        <v>7360</v>
      </c>
      <c r="V19" s="183">
        <f t="shared" si="20"/>
        <v>5727</v>
      </c>
      <c r="W19" s="183">
        <f t="shared" si="20"/>
        <v>530</v>
      </c>
      <c r="X19" s="183">
        <f t="shared" si="20"/>
        <v>5187</v>
      </c>
      <c r="Y19" s="183">
        <f t="shared" si="20"/>
        <v>0</v>
      </c>
      <c r="Z19" s="183">
        <f t="shared" si="20"/>
        <v>0</v>
      </c>
      <c r="AA19" s="183">
        <f t="shared" si="20"/>
        <v>0</v>
      </c>
      <c r="AB19" s="183">
        <f t="shared" si="20"/>
        <v>0</v>
      </c>
      <c r="AC19" s="183">
        <f t="shared" si="20"/>
        <v>7</v>
      </c>
      <c r="AD19" s="183">
        <f t="shared" si="20"/>
        <v>134</v>
      </c>
      <c r="AE19" s="183">
        <f t="shared" si="20"/>
        <v>141</v>
      </c>
      <c r="AF19" s="183">
        <f t="shared" si="20"/>
        <v>0</v>
      </c>
      <c r="AG19" s="183">
        <f t="shared" si="20"/>
        <v>0</v>
      </c>
      <c r="AH19" s="183">
        <f t="shared" si="20"/>
        <v>0</v>
      </c>
      <c r="AI19" s="183">
        <f t="shared" si="20"/>
        <v>0</v>
      </c>
      <c r="AJ19" s="183">
        <f t="shared" si="20"/>
        <v>0</v>
      </c>
      <c r="AK19" s="183">
        <f t="shared" si="20"/>
        <v>54</v>
      </c>
      <c r="AL19" s="183">
        <f t="shared" si="20"/>
        <v>142</v>
      </c>
      <c r="AM19" s="183">
        <f t="shared" si="20"/>
        <v>143</v>
      </c>
      <c r="AN19" s="183">
        <f t="shared" si="20"/>
        <v>53</v>
      </c>
      <c r="AO19" s="183">
        <f t="shared" si="20"/>
        <v>7</v>
      </c>
      <c r="AP19" s="183">
        <f t="shared" si="20"/>
        <v>7</v>
      </c>
      <c r="AQ19" s="183">
        <f t="shared" si="20"/>
        <v>7</v>
      </c>
      <c r="AR19" s="183">
        <f t="shared" si="20"/>
        <v>7</v>
      </c>
      <c r="AS19" s="183">
        <f t="shared" si="20"/>
        <v>0</v>
      </c>
      <c r="AT19" s="183">
        <f t="shared" si="20"/>
        <v>0</v>
      </c>
      <c r="AU19" s="203"/>
      <c r="AV19" s="132"/>
      <c r="AW19" s="203"/>
      <c r="AX19" s="132"/>
      <c r="AY19" s="183">
        <f>SUBTOTAL(9,AY14:AY18)</f>
        <v>5452</v>
      </c>
      <c r="AZ19" s="183">
        <f>SUBTOTAL(9,AZ14:AZ18)</f>
        <v>7646</v>
      </c>
      <c r="BA19" s="183">
        <f>SUBTOTAL(9,BA14:BA18)</f>
        <v>7360</v>
      </c>
      <c r="BB19" s="183">
        <f>SUBTOTAL(9,BB14:BB18)</f>
        <v>5727</v>
      </c>
      <c r="BC19" s="183">
        <f>SUBTOTAL(9,BC14:BC18)</f>
        <v>530</v>
      </c>
      <c r="BD19" s="204">
        <f>IF(ISNUMBER(BA19/AZ19),BA19/AZ19," - ")</f>
        <v>0.96259482082134451</v>
      </c>
      <c r="BE19" s="205">
        <f>IF(ISNUMBER(BB19/BA19),BB19/BA19, " - ")</f>
        <v>0.77812499999999996</v>
      </c>
      <c r="BF19" s="205">
        <f>IF(ISNUMBER(BC19/BA19),BC19/BA19, " - ")</f>
        <v>7.2010869565217392E-2</v>
      </c>
      <c r="BG19" s="206">
        <f>IF(ISNUMBER((AY19+AZ19)/BA19),(AY19+AZ19)/BA19," - ")</f>
        <v>1.7796195652173914</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24154</v>
      </c>
      <c r="J20" s="134">
        <f t="shared" si="23"/>
        <v>12803</v>
      </c>
      <c r="K20" s="134">
        <f t="shared" si="23"/>
        <v>12636</v>
      </c>
      <c r="L20" s="134">
        <f t="shared" si="23"/>
        <v>24786</v>
      </c>
      <c r="M20" s="134">
        <f t="shared" si="23"/>
        <v>1232</v>
      </c>
      <c r="N20" s="134">
        <f t="shared" si="23"/>
        <v>9312</v>
      </c>
      <c r="O20" s="134">
        <f t="shared" si="23"/>
        <v>1927</v>
      </c>
      <c r="P20" s="134">
        <f t="shared" si="23"/>
        <v>945</v>
      </c>
      <c r="Q20" s="134">
        <f t="shared" si="23"/>
        <v>859</v>
      </c>
      <c r="R20" s="134">
        <f t="shared" si="23"/>
        <v>17278</v>
      </c>
      <c r="S20" s="134">
        <f t="shared" si="23"/>
        <v>21379</v>
      </c>
      <c r="T20" s="134">
        <f t="shared" si="23"/>
        <v>13894</v>
      </c>
      <c r="U20" s="134">
        <f t="shared" si="23"/>
        <v>12703</v>
      </c>
      <c r="V20" s="134">
        <f t="shared" si="23"/>
        <v>22696</v>
      </c>
      <c r="W20" s="134">
        <f t="shared" si="23"/>
        <v>1604</v>
      </c>
      <c r="X20" s="134">
        <f t="shared" si="23"/>
        <v>8614</v>
      </c>
      <c r="Y20" s="134">
        <f t="shared" si="23"/>
        <v>712</v>
      </c>
      <c r="Z20" s="134">
        <f t="shared" si="23"/>
        <v>265</v>
      </c>
      <c r="AA20" s="134">
        <f t="shared" si="23"/>
        <v>362</v>
      </c>
      <c r="AB20" s="134">
        <f t="shared" si="23"/>
        <v>615</v>
      </c>
      <c r="AC20" s="134">
        <f t="shared" si="23"/>
        <v>7</v>
      </c>
      <c r="AD20" s="134">
        <f t="shared" si="23"/>
        <v>134</v>
      </c>
      <c r="AE20" s="134">
        <f t="shared" si="23"/>
        <v>141</v>
      </c>
      <c r="AF20" s="134">
        <f t="shared" si="23"/>
        <v>0</v>
      </c>
      <c r="AG20" s="134">
        <f t="shared" si="23"/>
        <v>373</v>
      </c>
      <c r="AH20" s="134">
        <f t="shared" si="23"/>
        <v>282</v>
      </c>
      <c r="AI20" s="134">
        <f t="shared" si="23"/>
        <v>264</v>
      </c>
      <c r="AJ20" s="134">
        <f t="shared" si="23"/>
        <v>334</v>
      </c>
      <c r="AK20" s="134">
        <f t="shared" si="23"/>
        <v>54</v>
      </c>
      <c r="AL20" s="134">
        <f t="shared" si="23"/>
        <v>142</v>
      </c>
      <c r="AM20" s="134">
        <f t="shared" si="23"/>
        <v>143</v>
      </c>
      <c r="AN20" s="209">
        <f t="shared" si="23"/>
        <v>53</v>
      </c>
      <c r="AO20" s="210">
        <v>16</v>
      </c>
      <c r="AP20" s="210">
        <v>16</v>
      </c>
      <c r="AQ20" s="210">
        <v>16</v>
      </c>
      <c r="AR20" s="210">
        <v>16</v>
      </c>
      <c r="AS20" s="152">
        <f t="shared" si="23"/>
        <v>0</v>
      </c>
      <c r="AT20" s="152">
        <f t="shared" si="23"/>
        <v>0</v>
      </c>
      <c r="AU20" s="210"/>
      <c r="AV20" s="211"/>
      <c r="AW20" s="210"/>
      <c r="AX20" s="211"/>
      <c r="AY20" s="133">
        <f>SUBTOTAL(9,AY9:AY19)</f>
        <v>21752</v>
      </c>
      <c r="AZ20" s="134">
        <f>SUBTOTAL(9,AZ9:AZ19)</f>
        <v>14176</v>
      </c>
      <c r="BA20" s="134">
        <f>SUBTOTAL(9,BA9:BA19)</f>
        <v>12967</v>
      </c>
      <c r="BB20" s="134">
        <f>SUBTOTAL(9,BB9:BB19)</f>
        <v>23030</v>
      </c>
      <c r="BC20" s="135">
        <f>SUBTOTAL(9,BC9:BC19)</f>
        <v>3963</v>
      </c>
      <c r="BD20" s="212">
        <f>IF(ISNUMBER(BA20/AZ20),BA20/AZ20," - ")</f>
        <v>0.91471501128668176</v>
      </c>
      <c r="BE20" s="209">
        <f>IF(ISNUMBER(BB20/BA20),BB20/BA20, " - ")</f>
        <v>1.7760468882548006</v>
      </c>
      <c r="BF20" s="209">
        <f>IF(ISNUMBER(BC20/BA20),BC20/BA20, " - ")</f>
        <v>0.30562196344566978</v>
      </c>
      <c r="BG20" s="135">
        <f>IF(ISNUMBER((AY20+AZ20)/BA20),(AY20+AZ20)/BA20," - ")</f>
        <v>2.7707256882856481</v>
      </c>
      <c r="BH20" s="210">
        <f>SUBTOTAL(9,BH9:BH19)</f>
        <v>16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9eI3d4bhwlK0pG0h2yxAKd6sCoZLLNwVbdWFgYqqkqvcyXSJiel4jlWsCEep81xU3dbSrAVmkNGmqBbgd0NCeg==" saltValue="RQIp3qVw8PSIrG7WpvkW8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JxXxdk8RChP4Cf3/xvJwyDksEFo94+i1YJ/iUfuPTwePnLW+GE4zxZK2+5E7FCmbGey11uoAD6JH6e/cL1u4A==" saltValue="6qEih5p6BHSqkZ7nvjAj+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HOSPITALET DE LLOBREGAT, L'</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9</v>
      </c>
      <c r="B9" s="500" t="s">
        <v>247</v>
      </c>
      <c r="C9" s="159" t="str">
        <f>Datos!A9</f>
        <v>Sección Civil del T.I</v>
      </c>
      <c r="D9" s="501"/>
      <c r="E9" s="259">
        <f>IF(ISNUMBER(Datos!AQ9),Datos!AQ9," - ")</f>
        <v>9</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265</v>
      </c>
      <c r="O9" s="333"/>
      <c r="P9" s="333"/>
      <c r="Q9" s="225">
        <f>IF(ISNUMBER(Datos!P9),Datos!P9,0)</f>
        <v>853</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759</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615</v>
      </c>
      <c r="AI9" s="333" t="str">
        <f>IF(ISNUMBER(Datos!CD9),Datos!CD9,"-")</f>
        <v>-</v>
      </c>
      <c r="AJ9" s="333" t="str">
        <f>IF(ISNUMBER(Datos!EN9),Datos!EN9," - ")</f>
        <v xml:space="preserve"> - </v>
      </c>
      <c r="AK9" s="333"/>
      <c r="AL9" s="478"/>
      <c r="AM9" s="334">
        <f>IF(ISNUMBER(Datos!R9),Datos!R9," - ")</f>
        <v>16592</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815</v>
      </c>
      <c r="BD9" s="228">
        <f>IF(ISNUMBER(Datos!N9),Datos!N9," - ")</f>
        <v>3757</v>
      </c>
      <c r="BE9" s="228" t="str">
        <f>IF(ISNUMBER(Datos!BW9),Datos!BW9," - ")</f>
        <v xml:space="preserve"> - </v>
      </c>
      <c r="BF9" s="227" t="str">
        <f>IF(ISNUMBER(Datos!BX9),Datos!BX9," - ")</f>
        <v xml:space="preserve"> - </v>
      </c>
      <c r="BG9" s="242">
        <f>IF(ISNUMBER(IF(J_V="SI",Datos!K9/Datos!J9,(Datos!K9+Datos!AA9)/(Datos!J9+Datos!Z9))),IF(J_V="SI",Datos!K9/Datos!J9,(Datos!K9+Datos!AA9)/(Datos!J9+Datos!Z9))," - ")</f>
        <v>1.0320445837687218</v>
      </c>
      <c r="BH9" s="259">
        <f>IF(ISNUMBER(((IF(J_V="SI",Datos!L9/Datos!K9,(Datos!L9+Datos!AB9)/(Datos!K9+Datos!AA9)))*11)/factor_trimestre),((IF(J_V="SI",Datos!L9/Datos!K9,(Datos!L9+Datos!AB9)/(Datos!K9+Datos!AA9)))*11)/factor_trimestre," - ")</f>
        <v>8.6815727303408714</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5.6976603224633288E-3</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2</v>
      </c>
      <c r="F10" s="224">
        <f>IF(ISNUMBER(Datos!L10+Datos!K10-Datos!J10),Datos!L10+Datos!K10-Datos!J10," - ")</f>
        <v>181</v>
      </c>
      <c r="G10" s="332">
        <f>IF(ISNUMBER(Datos!I10),Datos!I10," - ")</f>
        <v>174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28</v>
      </c>
      <c r="AC10" s="225">
        <f>IF(ISNUMBER(Datos!Q10),Datos!Q10," - ")</f>
        <v>8</v>
      </c>
      <c r="AD10" s="333"/>
      <c r="AE10" s="483"/>
      <c r="AF10" s="331">
        <f>IF(ISNUMBER(Datos!L10),Datos!L10,"-")</f>
        <v>208</v>
      </c>
      <c r="AG10" s="333"/>
      <c r="AH10" s="333"/>
      <c r="AI10" s="333"/>
      <c r="AJ10" s="333"/>
      <c r="AK10" s="333"/>
      <c r="AL10" s="478"/>
      <c r="AM10" s="334">
        <f>IF(ISNUMBER(Datos!R10),Datos!R10," - ")</f>
        <v>146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12</v>
      </c>
      <c r="BD10" s="228">
        <f>IF(ISNUMBER(Datos!N10),Datos!N10," - ")</f>
        <v>13</v>
      </c>
      <c r="BE10" s="228" t="str">
        <f>IF(ISNUMBER(Datos!BW10),Datos!BW10," - ")</f>
        <v xml:space="preserve"> - </v>
      </c>
      <c r="BF10" s="227" t="str">
        <f>IF(ISNUMBER(Datos!BX10),Datos!BX10," - ")</f>
        <v xml:space="preserve"> - </v>
      </c>
      <c r="BG10" s="242">
        <f>IF(ISNUMBER(Datos!K10/Datos!J10),Datos!K10/Datos!J10," - ")</f>
        <v>0.50909090909090904</v>
      </c>
      <c r="BH10" s="259">
        <f>IF(ISNUMBER(((Datos!L10/Datos!K10)*11)/factor_trimestre),((Datos!L10/Datos!K10)*11)/factor_trimestre," - ")</f>
        <v>22.285714285714288</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2.097902097902098E-2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11</v>
      </c>
      <c r="F13" s="895">
        <f t="shared" si="0"/>
        <v>181</v>
      </c>
      <c r="G13" s="895">
        <f t="shared" si="0"/>
        <v>174</v>
      </c>
      <c r="H13" s="896">
        <f t="shared" si="0"/>
        <v>0</v>
      </c>
      <c r="I13" s="895">
        <f t="shared" si="0"/>
        <v>0</v>
      </c>
      <c r="J13" s="864">
        <f t="shared" si="0"/>
        <v>0</v>
      </c>
      <c r="K13" s="864">
        <f t="shared" si="0"/>
        <v>0</v>
      </c>
      <c r="L13" s="896">
        <f t="shared" si="0"/>
        <v>0</v>
      </c>
      <c r="M13" s="896">
        <f t="shared" si="0"/>
        <v>0</v>
      </c>
      <c r="N13" s="896">
        <f t="shared" si="0"/>
        <v>265</v>
      </c>
      <c r="O13" s="897">
        <f t="shared" si="0"/>
        <v>0</v>
      </c>
      <c r="P13" s="897">
        <f t="shared" si="0"/>
        <v>0</v>
      </c>
      <c r="Q13" s="896">
        <f t="shared" si="0"/>
        <v>864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28</v>
      </c>
      <c r="AC13" s="896">
        <f t="shared" si="1"/>
        <v>767</v>
      </c>
      <c r="AD13" s="896">
        <f t="shared" si="1"/>
        <v>0</v>
      </c>
      <c r="AE13" s="896">
        <f t="shared" si="1"/>
        <v>0</v>
      </c>
      <c r="AF13" s="896">
        <f t="shared" si="1"/>
        <v>208</v>
      </c>
      <c r="AG13" s="896">
        <f t="shared" si="1"/>
        <v>0</v>
      </c>
      <c r="AH13" s="896">
        <f t="shared" si="1"/>
        <v>615</v>
      </c>
      <c r="AI13" s="896">
        <f t="shared" si="1"/>
        <v>0</v>
      </c>
      <c r="AJ13" s="896">
        <f t="shared" si="1"/>
        <v>0</v>
      </c>
      <c r="AK13" s="896">
        <f t="shared" si="1"/>
        <v>0</v>
      </c>
      <c r="AL13" s="896">
        <f t="shared" si="1"/>
        <v>0</v>
      </c>
      <c r="AM13" s="896">
        <f t="shared" si="1"/>
        <v>16738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827</v>
      </c>
      <c r="BD13" s="896">
        <f t="shared" si="1"/>
        <v>3770</v>
      </c>
      <c r="BE13" s="896">
        <f t="shared" si="1"/>
        <v>0</v>
      </c>
      <c r="BF13" s="896">
        <f t="shared" si="1"/>
        <v>0</v>
      </c>
      <c r="BG13" s="896">
        <f>IF(ISNUMBER(Datos!K13/Datos!J13),Datos!K13/Datos!J13," - ")</f>
        <v>1.0108459869848156</v>
      </c>
      <c r="BH13" s="900">
        <f>IF(ISNUMBER(((Datos!L13/Datos!K13)*11)/factor_trimestre),((Datos!L13/Datos!K13)*11)/factor_trimestre," - ")</f>
        <v>8.9817596566523612</v>
      </c>
      <c r="BI13" s="896">
        <f>IF(ISNUMBER('Resol  Asuntos'!D13/NºAsuntos!G13),'Resol  Asuntos'!D13/NºAsuntos!G13," - ")</f>
        <v>0.13889821968424587</v>
      </c>
      <c r="BJ13" s="896" t="str">
        <f>IF(ISNUMBER(Datos!CI13/Datos!CJ13),Datos!CI13/Datos!CJ13," - ")</f>
        <v xml:space="preserve"> - </v>
      </c>
      <c r="BK13" s="896">
        <f>SUBTOTAL(9,BK8:BK12)</f>
        <v>0</v>
      </c>
      <c r="BL13" s="896">
        <f>IF(ISNUMBER((I13-AB13+L13)/(F13)),(I13-AB13+L13)/(F13)," - ")</f>
        <v>-0.15469613259668508</v>
      </c>
      <c r="BM13" s="901">
        <f>SUBTOTAL(9,BM9:BM12)</f>
        <v>2.667668130148431E-2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7175</v>
      </c>
      <c r="G15" s="596">
        <f>IF(ISNUMBER(IF(D_I="SI",Datos!I15,Datos!I15+Datos!AC15)),IF(D_I="SI",Datos!I15,Datos!I15+Datos!AC15)," - ")</f>
        <v>7150</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81</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6594</v>
      </c>
      <c r="AC15" s="225">
        <f>IF(ISNUMBER(Datos!Q15),Datos!Q15," - ")</f>
        <v>92</v>
      </c>
      <c r="AD15" s="333"/>
      <c r="AE15" s="483"/>
      <c r="AF15" s="1192">
        <f>IF(ISNUMBER(IF(D_I="SI",Datos!L15,Datos!L15+Datos!AF15)),IF(D_I="SI",Datos!L15,Datos!L15+Datos!AF15)," - ")</f>
        <v>7366</v>
      </c>
      <c r="AG15" s="333"/>
      <c r="AH15" s="333"/>
      <c r="AI15" s="333"/>
      <c r="AJ15" s="333"/>
      <c r="AK15" s="333"/>
      <c r="AL15" s="478"/>
      <c r="AM15" s="334">
        <f>IF(ISNUMBER(Datos!R15),Datos!R15," - ")</f>
        <v>540</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358</v>
      </c>
      <c r="BD15" s="228">
        <f>IF(ISNUMBER(Datos!N15),Datos!N15," - ")</f>
        <v>5304</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0.97184966838614595</v>
      </c>
      <c r="BH15" s="259">
        <f>IF(ISNUMBER(((IF(D_I="SI",Datos!L15/Datos!K15,(Datos!L15+Datos!AF15)/(Datos!K15+Datos!AE15)))*11)/factor_trimestre),((IF(D_I="SI",Datos!L15/Datos!K15,(Datos!L15+Datos!AF15)/(Datos!K15+Datos!AE15)))*11)/factor_trimestre," - ")</f>
        <v>3.3512283894449504</v>
      </c>
      <c r="BI15" s="242">
        <f>IF(ISNUMBER('Resol  Asuntos'!D15/NºAsuntos!G15),'Resol  Asuntos'!D15/NºAsuntos!G15," - ")</f>
        <v>5.4291780406430089E-2</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627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450</v>
      </c>
      <c r="AC18" s="225">
        <f>IF(ISNUMBER(Datos!Q18),Datos!Q18," - ")</f>
        <v>0</v>
      </c>
      <c r="AD18" s="333"/>
      <c r="AE18" s="483"/>
      <c r="AF18" s="331">
        <f>IF(ISNUMBER(Datos!L18),Datos!L18,"-")</f>
        <v>678</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47</v>
      </c>
      <c r="BD18" s="228">
        <f>IF(ISNUMBER(Datos!N18),Datos!N18," - ")</f>
        <v>238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0.92592592592592593</v>
      </c>
      <c r="BH18" s="259">
        <f>IF(ISNUMBER(((IF(D_I="SI",Datos!L18/Datos!K18,(Datos!L18+Datos!AF18)/(Datos!K18+Datos!AE18)))*11)/factor_trimestre),((IF(D_I="SI",Datos!L18/Datos!K18,(Datos!L18+Datos!AF18)/(Datos!K18+Datos!AE18)))*11)/factor_trimestre," - ")</f>
        <v>4.5200000000000005</v>
      </c>
      <c r="BI18" s="242">
        <f>IF(ISNUMBER('Resol  Asuntos'!D18/NºAsuntos!G18),'Resol  Asuntos'!D18/NºAsuntos!G18," - ")</f>
        <v>0.10444444444444445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7</v>
      </c>
      <c r="F19" s="895">
        <f>SUBTOTAL(9,F15:F18)</f>
        <v>7175</v>
      </c>
      <c r="G19" s="895">
        <f>SUBTOTAL(9,G15:G18)</f>
        <v>7777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81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7044</v>
      </c>
      <c r="AC19" s="896">
        <f t="shared" si="4"/>
        <v>92</v>
      </c>
      <c r="AD19" s="896">
        <f t="shared" si="4"/>
        <v>0</v>
      </c>
      <c r="AE19" s="896">
        <f t="shared" si="4"/>
        <v>0</v>
      </c>
      <c r="AF19" s="896">
        <f t="shared" si="4"/>
        <v>8044</v>
      </c>
      <c r="AG19" s="896">
        <f t="shared" si="4"/>
        <v>0</v>
      </c>
      <c r="AH19" s="896">
        <f t="shared" si="4"/>
        <v>0</v>
      </c>
      <c r="AI19" s="896">
        <f t="shared" si="4"/>
        <v>0</v>
      </c>
      <c r="AJ19" s="896">
        <f t="shared" si="4"/>
        <v>0</v>
      </c>
      <c r="AK19" s="896">
        <f t="shared" si="4"/>
        <v>0</v>
      </c>
      <c r="AL19" s="896">
        <f t="shared" si="4"/>
        <v>0</v>
      </c>
      <c r="AM19" s="896">
        <f t="shared" si="4"/>
        <v>540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405</v>
      </c>
      <c r="BD19" s="896">
        <f t="shared" si="4"/>
        <v>5542</v>
      </c>
      <c r="BE19" s="896">
        <f t="shared" si="4"/>
        <v>0</v>
      </c>
      <c r="BF19" s="896">
        <f t="shared" si="4"/>
        <v>0</v>
      </c>
      <c r="BG19" s="896">
        <f>IF(ISNUMBER(Datos!K19/Datos!J19),Datos!K19/Datos!J19," - ")</f>
        <v>0.96878008527025172</v>
      </c>
      <c r="BH19" s="900">
        <f>IF(ISNUMBER(((Datos!L19/Datos!K19)*11)/factor_trimestre),((Datos!L19/Datos!K19)*11)/factor_trimestre," - ")</f>
        <v>3.4258943781942084</v>
      </c>
      <c r="BI19" s="896">
        <f>SUBTOTAL(9,BI15:BI18)</f>
        <v>0.15873622485087455</v>
      </c>
      <c r="BJ19" s="896">
        <f>SUBTOTAL(9,BJ15:BJ18)</f>
        <v>0</v>
      </c>
      <c r="BK19" s="896">
        <f>SUBTOTAL(9,BK15:BK18)</f>
        <v>0</v>
      </c>
      <c r="BL19" s="896">
        <f>IF(ISNUMBER((I19-AB19+L19)/(F19)),(I19-AB19+L19)/(F19)," - ")</f>
        <v>-0.98174216027874561</v>
      </c>
      <c r="BM19" s="902">
        <f>IF(ISNUMBER((Datos!P19-Datos!Q19)/(Datos!R19-Datos!P19+Datos!Q19)),(Datos!P19-Datos!Q19)/(Datos!R19-Datos!P19+Datos!Q19)," - ")</f>
        <v>-1.9963702359346643E-2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18</v>
      </c>
      <c r="F20" s="817">
        <f t="shared" si="6"/>
        <v>7356</v>
      </c>
      <c r="G20" s="817">
        <f t="shared" si="6"/>
        <v>7951</v>
      </c>
      <c r="H20" s="819">
        <f t="shared" si="6"/>
        <v>0</v>
      </c>
      <c r="I20" s="817">
        <f t="shared" si="6"/>
        <v>0</v>
      </c>
      <c r="J20" s="819">
        <f t="shared" si="6"/>
        <v>0</v>
      </c>
      <c r="K20" s="819">
        <f t="shared" si="6"/>
        <v>0</v>
      </c>
      <c r="L20" s="878">
        <f t="shared" si="6"/>
        <v>0</v>
      </c>
      <c r="M20" s="878">
        <f t="shared" si="6"/>
        <v>0</v>
      </c>
      <c r="N20" s="878">
        <f t="shared" si="6"/>
        <v>265</v>
      </c>
      <c r="O20" s="878">
        <f t="shared" si="6"/>
        <v>0</v>
      </c>
      <c r="P20" s="878">
        <f t="shared" si="6"/>
        <v>0</v>
      </c>
      <c r="Q20" s="819">
        <f t="shared" si="6"/>
        <v>945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7072</v>
      </c>
      <c r="AC20" s="818">
        <f t="shared" si="7"/>
        <v>859</v>
      </c>
      <c r="AD20" s="818">
        <f t="shared" si="7"/>
        <v>0</v>
      </c>
      <c r="AE20" s="818">
        <f t="shared" si="7"/>
        <v>0</v>
      </c>
      <c r="AF20" s="825">
        <f t="shared" si="7"/>
        <v>8252</v>
      </c>
      <c r="AG20" s="825">
        <f t="shared" si="7"/>
        <v>0</v>
      </c>
      <c r="AH20" s="825">
        <f t="shared" si="7"/>
        <v>615</v>
      </c>
      <c r="AI20" s="825">
        <f t="shared" si="7"/>
        <v>0</v>
      </c>
      <c r="AJ20" s="818">
        <f t="shared" si="7"/>
        <v>0</v>
      </c>
      <c r="AK20" s="825">
        <f t="shared" si="7"/>
        <v>0</v>
      </c>
      <c r="AL20" s="825">
        <f t="shared" si="7"/>
        <v>0</v>
      </c>
      <c r="AM20" s="825">
        <f t="shared" si="7"/>
        <v>17278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1232</v>
      </c>
      <c r="BD20" s="817">
        <f t="shared" si="7"/>
        <v>9312</v>
      </c>
      <c r="BE20" s="817">
        <f t="shared" si="7"/>
        <v>0</v>
      </c>
      <c r="BF20" s="827">
        <f t="shared" si="7"/>
        <v>0</v>
      </c>
      <c r="BG20" s="912">
        <f>IF(ISNUMBER(Datos!K20/Datos!J20),Datos!K20/Datos!J20," - ")</f>
        <v>0.98695618214480985</v>
      </c>
      <c r="BH20" s="912">
        <f>IF(ISNUMBER(((Datos!L20/Datos!K20)*11)/factor_trimestre),((Datos!L20/Datos!K20)*11)/factor_trimestre," - ")</f>
        <v>5.884615384615385</v>
      </c>
      <c r="BI20" s="810">
        <f>IF(ISNUMBER(Datos!J20/Datos!I20),Datos!J20/Datos!I20," - ")</f>
        <v>0.5300571333940548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-0.96139206090266449</v>
      </c>
      <c r="BM20" s="886">
        <f>IF(ISNUMBER((Datos!P20-Datos!Q20+R20)/(Datos!R20-Datos!P20+Datos!Q20-R20)),(Datos!P20-Datos!Q20+R20)/(Datos!R20-Datos!P20+Datos!Q20-R20)," - ")</f>
        <v>5.0023266635644487E-3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3180.4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4.1419265512024177</v>
      </c>
      <c r="F22" s="550">
        <f>IF(ISNUMBER(STDEV(F8:F19)),STDEV(F8:F19),"-")</f>
        <v>4037.9877827122427</v>
      </c>
      <c r="G22" s="551">
        <f>IF(ISNUMBER(STDEV(G8:G19)),STDEV(G8:G19),"-")</f>
        <v>3920.5608399819534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3650.0785197033774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355.19384379049518</v>
      </c>
      <c r="BD22" s="550"/>
      <c r="BE22" s="550">
        <f>IF(ISNUMBER(STDEV(BE8:BE19)),STDEV(BE8:BE19),"-")</f>
        <v>0</v>
      </c>
      <c r="BF22" s="555">
        <f>IF(ISNUMBER(STDEV(BF8:BF19)),STDEV(BF8:BF19),"-")</f>
        <v>0</v>
      </c>
      <c r="BG22" s="772">
        <f>IF(ISNUMBER(STDEV(BG8:BG19)),STDEV(BG8:BG19),"-")</f>
        <v>0.19648942966692209</v>
      </c>
      <c r="BH22" s="773">
        <f>IF(ISNUMBER(STDEV(BH8:BH19)),STDEV(BH8:BH19),"-")</f>
        <v>7.188847980734236</v>
      </c>
      <c r="BI22" s="248">
        <f>IF(ISNUMBER(STDEV(BI8:BI19)),STDEV(BI8:BI19),"-")</f>
        <v>4.5744205233791857E-2</v>
      </c>
      <c r="BJ22" s="229" t="str">
        <f>IF(ISNUMBER(BL22/BM22),BL22/BM22," - ")</f>
        <v xml:space="preserve"> - </v>
      </c>
      <c r="BK22" s="574"/>
      <c r="BL22" s="558">
        <f>IF(ISNUMBER(STDEV(BL8:BL19)),STDEV(BL8:BL19),"-")</f>
        <v>0.5848098545273821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LcMdn8q5rO14JQFiae/u+jeIOcz3NalVUwPVemfjrE6WE9Qibc8jqlQlY8kGLCdm0Rh0nsuqMcyY5J5f7DDvpA==" saltValue="dZJxCjFVfcIg7Ng/QmyWw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BARCELONA  Resumenes por Partidos Judiciales  HOSPITALET DE LLOBREGAT, L'</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9</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853</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759</v>
      </c>
      <c r="AA9" s="331" t="str">
        <f>IF(ISNUMBER(IF(J_V="SI",Datos!L9,Datos!L9+Datos!AB9)-IF(Monitorios="SI",Datos!CD9,0)),
                          IF(J_V="SI",Datos!L9,Datos!L9+Datos!AB9)-IF(Monitorios="SI",Datos!CD9,0),
                          " - ")</f>
        <v xml:space="preserve"> - </v>
      </c>
      <c r="AB9" s="333"/>
      <c r="AC9" s="333"/>
      <c r="AD9" s="483"/>
      <c r="AE9" s="483">
        <f>IF(ISNUMBER(Datos!R9),Datos!R9," - ")</f>
        <v>16592</v>
      </c>
      <c r="AF9" s="228" t="str">
        <f>IF(ISNUMBER(Datos!BV9),Datos!BV9," - ")</f>
        <v xml:space="preserve"> - </v>
      </c>
      <c r="AG9" s="224" t="str">
        <f>IF(ISNUMBER(Datos!DV9),Datos!DV9," - ")</f>
        <v xml:space="preserve"> - </v>
      </c>
      <c r="AH9" s="297"/>
      <c r="AI9" s="226"/>
      <c r="AJ9" s="224">
        <f>IF(ISNUMBER(Datos!M9),Datos!M9," - ")</f>
        <v>815</v>
      </c>
      <c r="AK9" s="228">
        <f>IF(ISNUMBER(Datos!N9),Datos!N9," - ")</f>
        <v>3757</v>
      </c>
      <c r="AL9" s="228" t="str">
        <f>IF(ISNUMBER(Datos!BW9),Datos!BW9," - ")</f>
        <v xml:space="preserve"> - </v>
      </c>
      <c r="AM9" s="227" t="str">
        <f>IF(ISNUMBER(Datos!BX9),Datos!BX9," - ")</f>
        <v xml:space="preserve"> - </v>
      </c>
      <c r="AN9" s="242"/>
      <c r="AO9" s="259">
        <f>IF(ISNUMBER(((NºAsuntos!I9/NºAsuntos!G9)*11)/factor_trimestre),((NºAsuntos!I9/NºAsuntos!G9)*11)/factor_trimestre," - ")</f>
        <v>8.6815727303408714</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5.6976603224633288E-3</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2</v>
      </c>
      <c r="F10" s="224">
        <f>IF(ISNUMBER(Datos!L10+Datos!K10-Datos!J10),Datos!L10+Datos!K10-Datos!J10," - ")</f>
        <v>181</v>
      </c>
      <c r="G10" s="224">
        <f>IF(ISNUMBER(Datos!I10),Datos!I10," - ")</f>
        <v>174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28</v>
      </c>
      <c r="Z10" s="617">
        <f>IF(ISNUMBER(Datos!Q10),Datos!Q10," - ")</f>
        <v>8</v>
      </c>
      <c r="AA10" s="331">
        <f>IF(ISNUMBER(Datos!L10),Datos!L10,"-")</f>
        <v>208</v>
      </c>
      <c r="AB10" s="333"/>
      <c r="AC10" s="333"/>
      <c r="AD10" s="483"/>
      <c r="AE10" s="483">
        <f>IF(ISNUMBER(Datos!R10),Datos!R10," - ")</f>
        <v>146</v>
      </c>
      <c r="AF10" s="228" t="str">
        <f>IF(ISNUMBER(Datos!BV10),Datos!BV10," - ")</f>
        <v xml:space="preserve"> - </v>
      </c>
      <c r="AG10" s="224" t="str">
        <f>IF(ISNUMBER(Datos!DV10),Datos!DV10," - ")</f>
        <v xml:space="preserve"> - </v>
      </c>
      <c r="AH10" s="297"/>
      <c r="AI10" s="226"/>
      <c r="AJ10" s="224">
        <f>IF(ISNUMBER(Datos!M10),Datos!M10," - ")</f>
        <v>12</v>
      </c>
      <c r="AK10" s="228">
        <f>IF(ISNUMBER(Datos!N10),Datos!N10," - ")</f>
        <v>13</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22.285714285714288</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2.097902097902098E-2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11</v>
      </c>
      <c r="F13" s="895">
        <f>SUBTOTAL(9,F8:F12)</f>
        <v>181</v>
      </c>
      <c r="G13" s="895">
        <f>SUBTOTAL(9,G8:G12)</f>
        <v>174</v>
      </c>
      <c r="H13" s="905"/>
      <c r="I13" s="895">
        <f t="shared" ref="I13:N13" si="0">SUBTOTAL(9,I8:I12)</f>
        <v>0</v>
      </c>
      <c r="J13" s="864">
        <f t="shared" si="0"/>
        <v>0</v>
      </c>
      <c r="K13" s="905">
        <f t="shared" si="0"/>
        <v>0</v>
      </c>
      <c r="L13" s="905">
        <f t="shared" si="0"/>
        <v>0</v>
      </c>
      <c r="M13" s="905">
        <f t="shared" si="0"/>
        <v>0</v>
      </c>
      <c r="N13" s="905">
        <f t="shared" si="0"/>
        <v>864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28</v>
      </c>
      <c r="Z13" s="904">
        <f t="shared" si="2"/>
        <v>767</v>
      </c>
      <c r="AA13" s="897">
        <f t="shared" si="2"/>
        <v>208</v>
      </c>
      <c r="AB13" s="897">
        <f t="shared" si="2"/>
        <v>0</v>
      </c>
      <c r="AC13" s="897">
        <f t="shared" si="2"/>
        <v>0</v>
      </c>
      <c r="AD13" s="897">
        <f t="shared" si="2"/>
        <v>0</v>
      </c>
      <c r="AE13" s="897">
        <f t="shared" si="2"/>
        <v>16738</v>
      </c>
      <c r="AF13" s="905">
        <f t="shared" si="2"/>
        <v>0</v>
      </c>
      <c r="AG13" s="905">
        <f t="shared" si="2"/>
        <v>0</v>
      </c>
      <c r="AH13" s="905">
        <f t="shared" si="2"/>
        <v>0</v>
      </c>
      <c r="AI13" s="905">
        <f t="shared" si="2"/>
        <v>0</v>
      </c>
      <c r="AJ13" s="905">
        <f t="shared" si="2"/>
        <v>827</v>
      </c>
      <c r="AK13" s="905">
        <f t="shared" si="2"/>
        <v>3770</v>
      </c>
      <c r="AL13" s="905">
        <f t="shared" si="2"/>
        <v>0</v>
      </c>
      <c r="AM13" s="905">
        <f t="shared" si="2"/>
        <v>0</v>
      </c>
      <c r="AN13" s="905">
        <f t="shared" si="2"/>
        <v>0</v>
      </c>
      <c r="AO13" s="901">
        <f>IF(ISNUMBER(((NºAsuntos!I13/NºAsuntos!G13)*11)/factor_trimestre),((NºAsuntos!I13/NºAsuntos!G13)*11)/factor_trimestre," - ")</f>
        <v>8.7455492106147137</v>
      </c>
      <c r="AP13" s="907" t="str">
        <f>IF(ISNUMBER(Datos!CI13/Datos!CJ13),Datos!CI13/Datos!CJ13," - ")</f>
        <v xml:space="preserve"> - </v>
      </c>
      <c r="AQ13" s="923">
        <f t="shared" ref="AQ13:AV13" si="3">SUBTOTAL(9,AQ9:AQ12)</f>
        <v>0</v>
      </c>
      <c r="AR13" s="923">
        <f t="shared" si="3"/>
        <v>2.667668130148431E-2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5</v>
      </c>
      <c r="B15" s="506" t="s">
        <v>397</v>
      </c>
      <c r="C15" s="159" t="str">
        <f>Datos!A15</f>
        <v xml:space="preserve">Seccion Instruccion Del T.I.                   </v>
      </c>
      <c r="D15" s="501"/>
      <c r="E15" s="1163">
        <f>IF(ISNUMBER(Datos!AQ15),Datos!AQ15," - ")</f>
        <v>5</v>
      </c>
      <c r="F15" s="332">
        <f>IF(ISNUMBER(AA15+Y15-Datos!J15-K15),AA15+Y15-Datos!J15-K15," - ")</f>
        <v>7175</v>
      </c>
      <c r="G15" s="224">
        <f>IF(ISNUMBER(IF(D_I="SI",Datos!I15,Datos!I15+Datos!AC15)),IF(D_I="SI",Datos!I15,Datos!I15+Datos!AC15)," - ")</f>
        <v>7150</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81</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6594</v>
      </c>
      <c r="Z15" s="617">
        <f>IF(ISNUMBER(Datos!Q15),Datos!Q15," - ")</f>
        <v>92</v>
      </c>
      <c r="AA15" s="331">
        <f>IF(ISNUMBER(IF(D_I="SI",Datos!L15,Datos!L15+Datos!AF15)),IF(D_I="SI",Datos!L15,Datos!L15+Datos!AF15)," - ")</f>
        <v>7366</v>
      </c>
      <c r="AB15" s="333"/>
      <c r="AC15" s="333"/>
      <c r="AD15" s="483"/>
      <c r="AE15" s="483">
        <f>IF(ISNUMBER(Datos!R15),Datos!R15," - ")</f>
        <v>540</v>
      </c>
      <c r="AF15" s="228" t="str">
        <f>IF(ISNUMBER(Datos!BV15),Datos!BV15," - ")</f>
        <v xml:space="preserve"> - </v>
      </c>
      <c r="AG15" s="224"/>
      <c r="AH15" s="297"/>
      <c r="AI15" s="226"/>
      <c r="AJ15" s="224">
        <f>IF(ISNUMBER(Datos!M15),Datos!M15," - ")</f>
        <v>358</v>
      </c>
      <c r="AK15" s="228">
        <f>IF(ISNUMBER(Datos!N15),Datos!N15," - ")</f>
        <v>5304</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3.3512283894449504</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2</v>
      </c>
      <c r="F18" s="224" t="str">
        <f>IF(ISNUMBER(AA18+Y18-I18-K18),AA18+Y18-I18-K18," - ")</f>
        <v xml:space="preserve"> - </v>
      </c>
      <c r="G18" s="522">
        <f>IF(ISNUMBER(IF(D_I="SI",Datos!I18,Datos!I18+Datos!AC18)),IF(D_I="SI",Datos!I18,Datos!I18+Datos!AC18)," - ")</f>
        <v>627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450</v>
      </c>
      <c r="Z18" s="617">
        <f>IF(ISNUMBER(Datos!Q18),Datos!Q18," - ")</f>
        <v>0</v>
      </c>
      <c r="AA18" s="331">
        <f>IF(ISNUMBER(Datos!L18),Datos!L18,"-")</f>
        <v>678</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47</v>
      </c>
      <c r="AK18" s="228">
        <f>IF(ISNUMBER(Datos!N18),Datos!N18," - ")</f>
        <v>238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4.5200000000000005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7</v>
      </c>
      <c r="F19" s="895">
        <f>SUBTOTAL(9,F15:F18)</f>
        <v>7175</v>
      </c>
      <c r="G19" s="895">
        <f>SUBTOTAL(9,G15:G18)</f>
        <v>7777</v>
      </c>
      <c r="H19" s="927">
        <f>SUBTOTAL(9,H15:H18)</f>
        <v>0</v>
      </c>
      <c r="I19" s="908">
        <f>SUBTOTAL(9,I15:I18)</f>
        <v>0</v>
      </c>
      <c r="J19" s="864">
        <f>SUBTOTAL(9,J14:J18)</f>
        <v>0</v>
      </c>
      <c r="K19" s="927">
        <f t="shared" ref="K19:S19" si="4">SUBTOTAL(9,K15:K18)</f>
        <v>0</v>
      </c>
      <c r="L19" s="927">
        <f t="shared" si="4"/>
        <v>0</v>
      </c>
      <c r="M19" s="927">
        <f t="shared" si="4"/>
        <v>0</v>
      </c>
      <c r="N19" s="927">
        <f t="shared" si="4"/>
        <v>81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7044</v>
      </c>
      <c r="Z19" s="927">
        <f t="shared" si="5"/>
        <v>92</v>
      </c>
      <c r="AA19" s="927">
        <f t="shared" si="5"/>
        <v>8044</v>
      </c>
      <c r="AB19" s="927">
        <f t="shared" si="5"/>
        <v>0</v>
      </c>
      <c r="AC19" s="927">
        <f t="shared" si="5"/>
        <v>0</v>
      </c>
      <c r="AD19" s="927">
        <f t="shared" si="5"/>
        <v>0</v>
      </c>
      <c r="AE19" s="927">
        <f t="shared" si="5"/>
        <v>540</v>
      </c>
      <c r="AF19" s="927">
        <f t="shared" si="5"/>
        <v>0</v>
      </c>
      <c r="AG19" s="927">
        <f t="shared" si="5"/>
        <v>0</v>
      </c>
      <c r="AH19" s="927">
        <f t="shared" si="5"/>
        <v>0</v>
      </c>
      <c r="AI19" s="927">
        <f t="shared" si="5"/>
        <v>0</v>
      </c>
      <c r="AJ19" s="927">
        <f t="shared" si="5"/>
        <v>405</v>
      </c>
      <c r="AK19" s="927">
        <f t="shared" si="5"/>
        <v>5542</v>
      </c>
      <c r="AL19" s="927">
        <f t="shared" si="5"/>
        <v>0</v>
      </c>
      <c r="AM19" s="927">
        <f t="shared" si="5"/>
        <v>0</v>
      </c>
      <c r="AN19" s="927">
        <f t="shared" si="5"/>
        <v>0</v>
      </c>
      <c r="AO19" s="929">
        <f>IF(ISNUMBER(((NºAsuntos!I19/NºAsuntos!G19)*11)/factor_trimestre),((NºAsuntos!I19/NºAsuntos!G19)*11)/factor_trimestre," - ")</f>
        <v>3.4258943781942084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18</v>
      </c>
      <c r="F20" s="817">
        <f t="shared" si="7"/>
        <v>7356</v>
      </c>
      <c r="G20" s="817">
        <f t="shared" si="7"/>
        <v>7951</v>
      </c>
      <c r="H20" s="818">
        <f t="shared" si="7"/>
        <v>0</v>
      </c>
      <c r="I20" s="817">
        <f t="shared" si="7"/>
        <v>0</v>
      </c>
      <c r="J20" s="819">
        <f t="shared" si="7"/>
        <v>0</v>
      </c>
      <c r="K20" s="817">
        <f t="shared" si="7"/>
        <v>0</v>
      </c>
      <c r="L20" s="820">
        <f t="shared" si="7"/>
        <v>0</v>
      </c>
      <c r="M20" s="817">
        <f t="shared" si="7"/>
        <v>0</v>
      </c>
      <c r="N20" s="818">
        <f t="shared" si="7"/>
        <v>945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7072</v>
      </c>
      <c r="Z20" s="824">
        <f t="shared" si="8"/>
        <v>859</v>
      </c>
      <c r="AA20" s="825">
        <f t="shared" si="8"/>
        <v>8252</v>
      </c>
      <c r="AB20" s="825">
        <f t="shared" si="8"/>
        <v>0</v>
      </c>
      <c r="AC20" s="825">
        <f t="shared" si="8"/>
        <v>0</v>
      </c>
      <c r="AD20" s="826">
        <f t="shared" si="8"/>
        <v>0</v>
      </c>
      <c r="AE20" s="826">
        <f t="shared" si="8"/>
        <v>17278</v>
      </c>
      <c r="AF20" s="827">
        <f t="shared" si="8"/>
        <v>0</v>
      </c>
      <c r="AG20" s="828">
        <f t="shared" si="8"/>
        <v>0</v>
      </c>
      <c r="AH20" s="829">
        <f t="shared" si="8"/>
        <v>0</v>
      </c>
      <c r="AI20" s="827">
        <f t="shared" si="8"/>
        <v>0</v>
      </c>
      <c r="AJ20" s="817">
        <f t="shared" si="8"/>
        <v>1232</v>
      </c>
      <c r="AK20" s="817">
        <f t="shared" si="8"/>
        <v>9312</v>
      </c>
      <c r="AL20" s="817">
        <f t="shared" si="8"/>
        <v>0</v>
      </c>
      <c r="AM20" s="830">
        <f t="shared" si="8"/>
        <v>0</v>
      </c>
      <c r="AN20" s="820">
        <f>IF(ISNUMBER(Datos!K20/Datos!J20),Datos!K20/Datos!J20," - ")</f>
        <v>0.98695618214480985</v>
      </c>
      <c r="AO20" s="820">
        <f>IF(ISNUMBER(FIND("06",Criterios!A8,1)),(IF(ISNUMBER(((Datos!R20/Datos!Q20)*11)/factor_trimestre),((Datos!R20/Datos!Q20)*11)/factor_trimestre," - ")),(IF(ISNUMBER(((Datos!L20/Datos!K20)*11)/factor_trimestre),((Datos!L20/Datos!K20)*11)/factor_trimestre," - ")))</f>
        <v>5.884615384615385</v>
      </c>
      <c r="AP20" s="831" t="str">
        <f>IF(ISNUMBER(Datos!CI20/Datos!CJ20),Datos!CI20/Datos!CJ20," - ")</f>
        <v xml:space="preserve"> - </v>
      </c>
      <c r="AQ20" s="831">
        <f>IF(OR(ISNUMBER(FIND("01",Criterios!A8,1)),ISNUMBER(FIND("02",Criterios!A8,1)),ISNUMBER(FIND("03",Criterios!A8,1)),ISNUMBER(FIND("04",Criterios!A8,1))),(J20-Y20+K20)/(F20-K20),(I20-Y20+K20)/(F20-K20))</f>
        <v>-0.96139206090266449</v>
      </c>
      <c r="AR20" s="831">
        <f>IF(ISNUMBER((Datos!P20-Datos!Q20+O20)/(Datos!R20-Datos!P20+Datos!Q20-O20)),(Datos!P20-Datos!Q20+O20)/(Datos!R20-Datos!P20+Datos!Q20-O20)," - ")</f>
        <v>5.0023266635644487E-3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3180.4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4037.9877827122427</v>
      </c>
      <c r="G22" s="551">
        <f>IF(ISNUMBER(STDEV(G8:G19)),STDEV(G8:G19),"-")</f>
        <v>3920.5608399819534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355.19384379049518</v>
      </c>
      <c r="AK22" s="251"/>
      <c r="AL22" s="251">
        <f>IF(ISNUMBER(STDEV(AL8:AL19)),STDEV(AL8:AL19),"-")</f>
        <v>0</v>
      </c>
      <c r="AM22" s="253">
        <f>IF(ISNUMBER(STDEV(AM8:AM19)),STDEV(AM8:AM19),"-")</f>
        <v>0</v>
      </c>
      <c r="AN22" s="538">
        <f>IF(ISNUMBER(STDEV(AN8:AN19)),STDEV(AN8:AN19),"-")</f>
        <v>0</v>
      </c>
      <c r="AO22" s="539">
        <f>IF(ISNUMBER(STDEV(AO8:AO19)),STDEV(AO8:AO19),"-")</f>
        <v>7.1865981085242456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tlp5NEzBh8HJbJp8naEHehtybzV1q86RgJsJ+Pm57sukAu4mMLc4WSWYU5mMMmV/DFnT9D56jxx2ss1mnRnZjA==" saltValue="jyVfbIHCKCgWffb+wceCW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A5mIo49Fadem57cU6tVKrOkI+rP5hTRITD9JjufJ23LGN56pZVQ1mQk41JIgkPAcxGq+Qi3scftKZa/It7PH8w==" saltValue="1isb6c3FuHYCeGajQjcBh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iORjhjP0vvhCdl8MeSMfIuNcfYQIwsCfkX/JLGGn3hBdRR7QEVoufY8IBZpAczrl6xPqJJTPFb4lbylk75x4w==" saltValue="cVXKGcq60xeUzC7CFILiS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HOSPITALET DE LLOBREGAT, L'</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0.13889821968424587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9.8215873033469056E-2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2l5MmEuAlWupexvAQcz8fLoTQ7kUtvVqg8xDykvQeEMPVshcFxOy5z4QzYIzCuJxjXLYOZEJA1/3AoimRa33QA==" saltValue="d02YXXVZ+ikaeUz1xMNMK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0aCjPfy1i4gIou16x2LrByv6Ct0yNv45rdF5cmcMtAJczIuKZA4SDqwZu3r3j5O4xIKl1PSrvIeyXwdI/BPFNQ==" saltValue="/2d75oaAIhMEG4JOlvIdq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BARCELONA  Resumenes por Partidos Judiciales  HOSPITALET DE LLOBREGAT, L'</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9</v>
      </c>
      <c r="B9" s="500" t="s">
        <v>247</v>
      </c>
      <c r="C9" s="159" t="str">
        <f>Datos!A9</f>
        <v>Sección Civil del T.I</v>
      </c>
      <c r="D9" s="501"/>
      <c r="E9" s="679">
        <f>IF(ISNUMBER(Datos!AQ9),Datos!AQ9," - ")</f>
        <v>9</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2</v>
      </c>
      <c r="F10" s="680">
        <f>IF(ISNUMBER(Datos!L10+Datos!K10-Datos!J10),Datos!L10+Datos!K10-Datos!J10," - ")</f>
        <v>181</v>
      </c>
      <c r="G10" s="681">
        <f>IF(ISNUMBER(Datos!I10),Datos!I10," - ")</f>
        <v>174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28</v>
      </c>
      <c r="AC10" s="680" t="str">
        <f>IF(ISNUMBER(IF(D_I="SI",DatosP!K18,DatosP!K18+DatosP!AE18)),IF(D_I="SI",DatosP!K18,DatosP!K18+DatosP!AE18)," - ")</f>
        <v xml:space="preserve"> - </v>
      </c>
      <c r="AD10" s="682"/>
      <c r="AE10" s="682"/>
      <c r="AF10" s="685">
        <f>IF(ISNUMBER(Datos!L10),Datos!L10,"-")</f>
        <v>208</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12</v>
      </c>
      <c r="AM10" s="687">
        <f>IF(ISNUMBER(Datos!N10+DatosP!N18),Datos!N10+DatosP!N18," - ")</f>
        <v>13</v>
      </c>
      <c r="AN10" s="687">
        <f>IF(ISNUMBER(Datos!BW10+DatosP!BW18),Datos!BW10+DatosP!BW18," - ")</f>
        <v>0</v>
      </c>
      <c r="AO10" s="688">
        <f>IF(ISNUMBER(Datos!BX10+DatosP!BX18),Datos!BX10+DatosP!BX18," - ")</f>
        <v>0</v>
      </c>
      <c r="AP10" s="690">
        <f>IF(ISNUMBER(((Datos!L10/Datos!K10)*11)/factor_trimestre),((Datos!L10/Datos!K10)*11)/factor_trimestre," - ")</f>
        <v>22.285714285714288</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11</v>
      </c>
      <c r="F13" s="933">
        <f t="shared" si="0"/>
        <v>181</v>
      </c>
      <c r="G13" s="933">
        <f t="shared" si="0"/>
        <v>174</v>
      </c>
      <c r="H13" s="933">
        <f t="shared" si="0"/>
        <v>0</v>
      </c>
      <c r="I13" s="935">
        <f t="shared" si="0"/>
        <v>0</v>
      </c>
      <c r="J13" s="934">
        <f t="shared" si="0"/>
        <v>0</v>
      </c>
      <c r="K13" s="934">
        <f t="shared" si="0"/>
        <v>0</v>
      </c>
      <c r="L13" s="936">
        <f t="shared" si="0"/>
        <v>0</v>
      </c>
      <c r="M13" s="936">
        <f t="shared" si="0"/>
        <v>0</v>
      </c>
      <c r="N13" s="934">
        <f t="shared" si="0"/>
        <v>11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28</v>
      </c>
      <c r="AC13" s="934">
        <f t="shared" si="1"/>
        <v>0</v>
      </c>
      <c r="AD13" s="934">
        <f t="shared" si="1"/>
        <v>0</v>
      </c>
      <c r="AE13" s="934">
        <f t="shared" si="1"/>
        <v>0</v>
      </c>
      <c r="AF13" s="934">
        <f t="shared" si="1"/>
        <v>208</v>
      </c>
      <c r="AG13" s="934">
        <f t="shared" si="1"/>
        <v>0</v>
      </c>
      <c r="AH13" s="934">
        <f t="shared" si="1"/>
        <v>0</v>
      </c>
      <c r="AI13" s="934">
        <f t="shared" si="1"/>
        <v>0</v>
      </c>
      <c r="AJ13" s="934">
        <f t="shared" si="1"/>
        <v>0</v>
      </c>
      <c r="AK13" s="934">
        <f t="shared" si="1"/>
        <v>0</v>
      </c>
      <c r="AL13" s="934">
        <f t="shared" si="1"/>
        <v>12</v>
      </c>
      <c r="AM13" s="934">
        <f t="shared" si="1"/>
        <v>13</v>
      </c>
      <c r="AN13" s="934">
        <f t="shared" si="1"/>
        <v>0</v>
      </c>
      <c r="AO13" s="934">
        <f t="shared" si="1"/>
        <v>0</v>
      </c>
      <c r="AP13" s="939">
        <f>IF(ISNUMBER(((Datos!L13/Datos!K13)*11)/factor_trimestre),((Datos!L13/Datos!K13)*11)/factor_trimestre," - ")</f>
        <v>8.9817596566523612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-0.15469613259668508</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5</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3.4258943781942084</v>
      </c>
      <c r="AQ19" s="939">
        <f>IF(ISNUMBER(((Datos!M19/Datos!L19)*11)/factor_trimestre),((Datos!M19/Datos!L19)*11)/factor_trimestre," - ")</f>
        <v>0.1510442565887618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-1.9963702359346643E-2</v>
      </c>
      <c r="AW19" s="941">
        <f>IF(ISNUMBER((Datos!Q19-Datos!R19)/(Datos!S19-Datos!Q19+Datos!R19)),(Datos!Q19-Datos!R19)/(Datos!S19-Datos!Q19+Datos!R19)," - ")</f>
        <v>-7.5932203389830505E-2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11</v>
      </c>
      <c r="F20" s="946">
        <f t="shared" si="4"/>
        <v>181</v>
      </c>
      <c r="G20" s="946">
        <f t="shared" si="4"/>
        <v>174</v>
      </c>
      <c r="H20" s="946">
        <f t="shared" si="4"/>
        <v>0</v>
      </c>
      <c r="I20" s="947">
        <f t="shared" si="4"/>
        <v>0</v>
      </c>
      <c r="J20" s="948">
        <f t="shared" si="4"/>
        <v>0</v>
      </c>
      <c r="K20" s="948">
        <f t="shared" si="4"/>
        <v>0</v>
      </c>
      <c r="L20" s="948">
        <f t="shared" si="4"/>
        <v>0</v>
      </c>
      <c r="M20" s="948">
        <f t="shared" si="4"/>
        <v>0</v>
      </c>
      <c r="N20" s="947">
        <f t="shared" si="4"/>
        <v>11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28</v>
      </c>
      <c r="AC20" s="952">
        <f t="shared" si="5"/>
        <v>0</v>
      </c>
      <c r="AD20" s="952">
        <f t="shared" si="5"/>
        <v>0</v>
      </c>
      <c r="AE20" s="952">
        <f t="shared" si="5"/>
        <v>0</v>
      </c>
      <c r="AF20" s="953">
        <f t="shared" si="5"/>
        <v>208</v>
      </c>
      <c r="AG20" s="953">
        <f t="shared" si="5"/>
        <v>0</v>
      </c>
      <c r="AH20" s="953">
        <f t="shared" si="5"/>
        <v>0</v>
      </c>
      <c r="AI20" s="953">
        <f t="shared" si="5"/>
        <v>0</v>
      </c>
      <c r="AJ20" s="954">
        <f t="shared" si="5"/>
        <v>0</v>
      </c>
      <c r="AK20" s="954">
        <f t="shared" si="5"/>
        <v>0</v>
      </c>
      <c r="AL20" s="946">
        <f t="shared" si="5"/>
        <v>12</v>
      </c>
      <c r="AM20" s="946">
        <f t="shared" si="5"/>
        <v>13</v>
      </c>
      <c r="AN20" s="946">
        <f t="shared" si="5"/>
        <v>0</v>
      </c>
      <c r="AO20" s="946">
        <f t="shared" si="5"/>
        <v>0</v>
      </c>
      <c r="AP20" s="946">
        <f>IF(ISNUMBER(((Datos!L20/Datos!K20)*11)/factor_trimestre),((Datos!L20/Datos!K20)*11)/factor_trimestre," - ")</f>
        <v>5.884615384615385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-0.15469613259668508</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5.0023266635644487E-3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116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5.00666222813829</v>
      </c>
      <c r="F22" s="733">
        <f>IF(ISNUMBER(STDEV(F8:F19)),STDEV(F8:F19),"-")</f>
        <v>104.50039872332226</v>
      </c>
      <c r="G22" s="734">
        <f>IF(ISNUMBER(STDEV(G8:G19)),STDEV(G8:G19),"-")</f>
        <v>100.45894683899488</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16.165807537309522</v>
      </c>
      <c r="AC22" s="735">
        <f>IF(ISNUMBER(STDEV(AC8:AC19)),STDEV(AC8:AC19),"-")</f>
        <v>0</v>
      </c>
      <c r="AD22" s="738"/>
      <c r="AE22" s="738"/>
      <c r="AF22" s="738"/>
      <c r="AG22" s="738"/>
      <c r="AH22" s="738"/>
      <c r="AI22" s="738"/>
      <c r="AJ22" s="739">
        <f>IF(ISNUMBER(STDEV(AJ8:AJ19)),STDEV(AJ8:AJ19),"-")</f>
        <v>0</v>
      </c>
      <c r="AK22" s="741"/>
      <c r="AL22" s="733">
        <f>IF(ISNUMBER(STDEV(AL8:AL19)),STDEV(AL8:AL19),"-")</f>
        <v>6.9282032302755088</v>
      </c>
      <c r="AM22" s="733"/>
      <c r="AN22" s="733">
        <f>IF(ISNUMBER(STDEV(AN8:AN19)),STDEV(AN8:AN19),"-")</f>
        <v>0</v>
      </c>
      <c r="AO22" s="739">
        <f>IF(ISNUMBER(STDEV(AO8:AO19)),STDEV(AO8:AO19),"-")</f>
        <v>0</v>
      </c>
      <c r="AP22" s="776">
        <f>IF(ISNUMBER(STDEV(AP8:AP19)),STDEV(AP8:AP19),"-")</f>
        <v>9.6915397358435396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fO8/o2rjdAehlwSN331HfBpqZ+UVoeAIPBrtX0aWkKxP1br3pOZ/dF8zyvzPNHZEfgwpDA7j1aZcbNy5MJXzxg==" saltValue="VyAnWRAuJrNFUm2HG4IBF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BARCELONA  Resumenes por Partidos Judiciales  HOSPITALET DE LLOBREGAT, L'</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9</v>
      </c>
      <c r="B9" s="500" t="s">
        <v>247</v>
      </c>
      <c r="C9" s="159" t="str">
        <f>Datos!A9</f>
        <v>Sección Civil del T.I</v>
      </c>
      <c r="D9" s="501"/>
      <c r="E9" s="259">
        <f>IF(ISNUMBER(Datos!AQ9),Datos!AQ9," - ")</f>
        <v>9</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265</v>
      </c>
      <c r="O9" s="333"/>
      <c r="P9" s="333"/>
      <c r="Q9" s="225">
        <f>IF(ISNUMBER(Datos!P9),Datos!P9,0)</f>
        <v>853</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759</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615</v>
      </c>
      <c r="AI9" s="224" t="str">
        <f>IF(ISNUMBER(Datos!CD9),Datos!CD9,"-")</f>
        <v>-</v>
      </c>
      <c r="AJ9" s="224" t="str">
        <f>IF(ISNUMBER(Datos!EN9),Datos!EN9," - ")</f>
        <v xml:space="preserve"> - </v>
      </c>
      <c r="AK9" s="333"/>
      <c r="AL9" s="478"/>
      <c r="AM9" s="224">
        <f>IF(ISNUMBER(Datos!R9),Datos!R9," - ")</f>
        <v>16592</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815</v>
      </c>
      <c r="BD9" s="228">
        <f>IF(ISNUMBER(Datos!N9),Datos!N9," - ")</f>
        <v>3757</v>
      </c>
      <c r="BE9" s="224" t="str">
        <f>IF(ISNUMBER(Datos!BW9),Datos!BW9," - ")</f>
        <v xml:space="preserve"> - </v>
      </c>
      <c r="BF9" s="224" t="str">
        <f>IF(ISNUMBER(Datos!BX9),Datos!BX9," - ")</f>
        <v xml:space="preserve"> - </v>
      </c>
      <c r="BG9" s="242">
        <f>IF(ISNUMBER(IF(J_V="SI",Datos!K9/Datos!J9,(Datos!K9+Datos!AA9)/(Datos!J9+Datos!Z9))),IF(J_V="SI",Datos!K9/Datos!J9,(Datos!K9+Datos!AA9)/(Datos!J9+Datos!Z9))," - ")</f>
        <v>1.0320445837687218</v>
      </c>
      <c r="BH9" s="224">
        <f>IF(ISNUMBER(((IF(J_V="SI",Datos!L9/Datos!K9,(Datos!L9+Datos!AB9)/(Datos!K9+Datos!AA9)))*11)/factor_trimestre),((IF(J_V="SI",Datos!L9/Datos!K9,(Datos!L9+Datos!AB9)/(Datos!K9+Datos!AA9)))*11)/factor_trimestre," - ")</f>
        <v>8.6815727303408714</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5.6976603224633288E-3</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2486.6078519703378</v>
      </c>
      <c r="CF9" s="228">
        <f ca="1">AVERAGEIFS($AB:$AB,$BW:$BW,BW9,$BX:$BX,BX9)</f>
        <v>2486.6078519703378</v>
      </c>
      <c r="CG9" s="1191">
        <v>0.7</v>
      </c>
      <c r="CH9" s="1191">
        <f ca="1">AVERAGEIF($BW:$BW,$BW9,$AC:$AC)</f>
        <v>257.7</v>
      </c>
      <c r="CI9" s="228">
        <f ca="1">AVERAGEIFS($AC:$AC,$BW:$BW,$BW9,$BX:$BX,$BX9)</f>
        <v>257.7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2750.6666666666665</v>
      </c>
      <c r="CR9" s="228">
        <f ca="1">AVERAGEIFS($AF:$AF,$BW:$BW,BW9,$BX:$BX,BX9)</f>
        <v>2750.6666666666665</v>
      </c>
      <c r="CS9" s="1191">
        <v>1.3</v>
      </c>
      <c r="CT9" s="1191">
        <v>1.5</v>
      </c>
      <c r="CU9" s="1191">
        <f ca="1">AVERAGEIF($BW:$BW,$BW9,$AH:$AH)</f>
        <v>263.57142857142856</v>
      </c>
      <c r="CV9" s="228">
        <f ca="1">AVERAGEIFS($AH:$AH,$BW:$BW,$BW9,$BX:$BX,$BX9)</f>
        <v>263.57142857142856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5183.3999999999996</v>
      </c>
      <c r="DH9" s="228">
        <f ca="1">AVERAGEIFS($AM:$AM,$BW:$BW,$BW9,$BX:$BX,$BX9)</f>
        <v>5183.3999999999996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5.8472393459723913</v>
      </c>
      <c r="ER9" s="228">
        <f ca="1">AVERAGEIFS($BH:$BH,$BW:$BW,$BW9,$BX:$BX,$BX9)</f>
        <v>5.8472393459723913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2</v>
      </c>
      <c r="F10" s="224">
        <f>IF(ISNUMBER(Datos!L10+Datos!K10-Datos!J10),Datos!L10+Datos!K10-Datos!J10," - ")</f>
        <v>181</v>
      </c>
      <c r="G10" s="332">
        <f>IF(ISNUMBER(Datos!I10),Datos!I10," - ")</f>
        <v>174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28</v>
      </c>
      <c r="AC10" s="224">
        <f>IF(ISNUMBER(Datos!Q10),Datos!Q10," - ")</f>
        <v>8</v>
      </c>
      <c r="AD10" s="224"/>
      <c r="AE10" s="224"/>
      <c r="AF10" s="224">
        <f>IF(ISNUMBER(Datos!L10),Datos!L10,"-")</f>
        <v>208</v>
      </c>
      <c r="AG10" s="333"/>
      <c r="AH10" s="224"/>
      <c r="AI10" s="224"/>
      <c r="AJ10" s="224"/>
      <c r="AK10" s="333"/>
      <c r="AL10" s="478"/>
      <c r="AM10" s="224">
        <f>IF(ISNUMBER(Datos!R10),Datos!R10," - ")</f>
        <v>146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12</v>
      </c>
      <c r="BD10" s="228">
        <f>IF(ISNUMBER(Datos!N10),Datos!N10," - ")</f>
        <v>13</v>
      </c>
      <c r="BE10" s="224" t="str">
        <f>IF(ISNUMBER(Datos!BW10),Datos!BW10," - ")</f>
        <v xml:space="preserve"> - </v>
      </c>
      <c r="BF10" s="224" t="str">
        <f>IF(ISNUMBER(Datos!BX10),Datos!BX10," - ")</f>
        <v xml:space="preserve"> - </v>
      </c>
      <c r="BG10" s="242">
        <f>IF(ISNUMBER(Datos!K10/Datos!J10),Datos!K10/Datos!J10," - ")</f>
        <v>0.50909090909090904</v>
      </c>
      <c r="BH10" s="224">
        <f>IF(ISNUMBER(((Datos!L10/Datos!K10)*11)/factor_trimestre),((Datos!L10/Datos!K10)*11)/factor_trimestre," - ")</f>
        <v>22.285714285714288</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2.097902097902098E-2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2486.6078519703378</v>
      </c>
      <c r="CF10" s="228">
        <f ca="1">AVERAGEIFS($AB:$AB,$BW:$BW,BW10,$BX:$BX,BX10)</f>
        <v>2486.6078519703378</v>
      </c>
      <c r="CG10" s="1191">
        <v>0.7</v>
      </c>
      <c r="CH10" s="1191">
        <f ca="1">AVERAGEIF($BW:$BW,BW10,$AC:$AC)</f>
        <v>257.7</v>
      </c>
      <c r="CI10" s="228">
        <f ca="1">AVERAGEIFS($AC:$AC,$BW:$BW,BW10,$BX:$BX,BX10)</f>
        <v>257.7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2750.6666666666665</v>
      </c>
      <c r="CR10" s="228">
        <f ca="1">AVERAGEIFS($AF:$AF,$BW:$BW,BW10,$BX:$BX,BX10)</f>
        <v>2750.6666666666665</v>
      </c>
      <c r="CS10" s="1191">
        <v>1.3</v>
      </c>
      <c r="CT10" s="1191">
        <v>1.5</v>
      </c>
      <c r="CU10" s="1191">
        <f ca="1">AVERAGEIF($BW:$BW,$BW10,$AH:$AH)</f>
        <v>263.57142857142856</v>
      </c>
      <c r="CV10" s="228">
        <f ca="1">AVERAGEIFS($AH:$AH,$BW:$BW,$BW10,$BX:$BX,$BX10)</f>
        <v>263.57142857142856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5183.3999999999996</v>
      </c>
      <c r="DH10" s="228">
        <f ca="1">AVERAGEIFS($AM:$AM,$BW:$BW,$BW10,$BX:$BX,$BX10)</f>
        <v>5183.3999999999996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5.8472393459723913</v>
      </c>
      <c r="ER10" s="228">
        <f ca="1">AVERAGEIFS($BH:$BH,$BW:$BW,$BW10,$BX:$BX,$BX10)</f>
        <v>5.8472393459723913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2486.6078519703378</v>
      </c>
      <c r="CF11" s="228">
        <f ca="1">AVERAGEIFS($AB:$AB,$BW:$BW,BW11,$BX:$BX,BX11)</f>
        <v>2486.6078519703378</v>
      </c>
      <c r="CG11" s="1191">
        <v>0.7</v>
      </c>
      <c r="CH11" s="1191">
        <f ca="1">AVERAGEIF($BW:$BW,BW11,$AC:$AC)</f>
        <v>257.7</v>
      </c>
      <c r="CI11" s="228">
        <f ca="1">AVERAGEIFS($AC:$AC,$BW:$BW,BW11,$BX:$BX,BX11)</f>
        <v>257.7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2750.6666666666665</v>
      </c>
      <c r="CR11" s="228">
        <f ca="1">AVERAGEIFS($AF:$AF,$BW:$BW,BW11,$BX:$BX,BX11)</f>
        <v>2750.6666666666665</v>
      </c>
      <c r="CS11" s="1191">
        <v>1.3</v>
      </c>
      <c r="CT11" s="1191">
        <v>1.5</v>
      </c>
      <c r="CU11" s="1191">
        <f ca="1">AVERAGEIF($BW:$BW,$BW11,$AH:$AH)</f>
        <v>263.57142857142856</v>
      </c>
      <c r="CV11" s="228">
        <f ca="1">AVERAGEIFS($AH:$AH,$BW:$BW,$BW11,$BX:$BX,$BX11)</f>
        <v>263.57142857142856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5183.3999999999996</v>
      </c>
      <c r="DH11" s="228">
        <f ca="1">AVERAGEIFS($AM:$AM,$BW:$BW,$BW11,$BX:$BX,$BX11)</f>
        <v>5183.3999999999996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5.8472393459723913</v>
      </c>
      <c r="ER11" s="228">
        <f ca="1">AVERAGEIFS($BH:$BH,$BW:$BW,$BW11,$BX:$BX,$BX11)</f>
        <v>5.8472393459723913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2486.6078519703378</v>
      </c>
      <c r="CF12" s="228">
        <f ca="1">AVERAGEIFS($AB:$AB,$BW:$BW,BW12,$BX:$BX,BX12)</f>
        <v>2486.6078519703378</v>
      </c>
      <c r="CG12" s="1191">
        <v>0.7</v>
      </c>
      <c r="CH12" s="1191">
        <f ca="1">AVERAGEIF($BW:$BW,BW12,$AC:$AC)</f>
        <v>257.7</v>
      </c>
      <c r="CI12" s="228">
        <f ca="1">AVERAGEIFS($AC:$AC,$BW:$BW,BW12,$BX:$BX,BX12)</f>
        <v>257.7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2750.6666666666665</v>
      </c>
      <c r="CR12" s="228">
        <f ca="1">AVERAGEIFS($AF:$AF,$BW:$BW,BW12,$BX:$BX,BX12)</f>
        <v>2750.6666666666665</v>
      </c>
      <c r="CS12" s="1191">
        <v>1.3</v>
      </c>
      <c r="CT12" s="1191">
        <v>1.5</v>
      </c>
      <c r="CU12" s="1191">
        <f ca="1">AVERAGEIF($BW:$BW,$BW12,$AH:$AH)</f>
        <v>263.57142857142856</v>
      </c>
      <c r="CV12" s="228">
        <f ca="1">AVERAGEIFS($AH:$AH,$BW:$BW,$BW12,$BX:$BX,$BX12)</f>
        <v>263.57142857142856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5183.3999999999996</v>
      </c>
      <c r="DH12" s="228">
        <f ca="1">AVERAGEIFS($AM:$AM,$BW:$BW,$BW12,$BX:$BX,$BX12)</f>
        <v>5183.3999999999996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5.8472393459723913</v>
      </c>
      <c r="ER12" s="228">
        <f ca="1">AVERAGEIFS($BH:$BH,$BW:$BW,$BW12,$BX:$BX,$BX12)</f>
        <v>5.8472393459723913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11</v>
      </c>
      <c r="F13" s="895">
        <f t="shared" si="1"/>
        <v>181</v>
      </c>
      <c r="G13" s="895">
        <f t="shared" si="1"/>
        <v>174</v>
      </c>
      <c r="H13" s="896">
        <f t="shared" si="1"/>
        <v>0</v>
      </c>
      <c r="I13" s="895">
        <f t="shared" si="1"/>
        <v>0</v>
      </c>
      <c r="J13" s="864">
        <f t="shared" si="1"/>
        <v>0</v>
      </c>
      <c r="K13" s="864">
        <f t="shared" si="1"/>
        <v>0</v>
      </c>
      <c r="L13" s="896">
        <f t="shared" si="1"/>
        <v>0</v>
      </c>
      <c r="M13" s="896">
        <f t="shared" si="1"/>
        <v>0</v>
      </c>
      <c r="N13" s="896">
        <f t="shared" si="1"/>
        <v>265</v>
      </c>
      <c r="O13" s="897">
        <f t="shared" si="1"/>
        <v>0</v>
      </c>
      <c r="P13" s="897">
        <f t="shared" si="1"/>
        <v>0</v>
      </c>
      <c r="Q13" s="896">
        <f t="shared" si="1"/>
        <v>864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28</v>
      </c>
      <c r="AC13" s="896">
        <f t="shared" si="2"/>
        <v>767</v>
      </c>
      <c r="AD13" s="896">
        <f t="shared" si="2"/>
        <v>0</v>
      </c>
      <c r="AE13" s="896">
        <f t="shared" si="2"/>
        <v>0</v>
      </c>
      <c r="AF13" s="896">
        <f t="shared" si="2"/>
        <v>208</v>
      </c>
      <c r="AG13" s="896">
        <f t="shared" si="2"/>
        <v>0</v>
      </c>
      <c r="AH13" s="896">
        <f t="shared" si="2"/>
        <v>615</v>
      </c>
      <c r="AI13" s="896">
        <f t="shared" si="2"/>
        <v>0</v>
      </c>
      <c r="AJ13" s="896">
        <f t="shared" si="2"/>
        <v>0</v>
      </c>
      <c r="AK13" s="896">
        <f t="shared" si="2"/>
        <v>0</v>
      </c>
      <c r="AL13" s="896">
        <f t="shared" si="2"/>
        <v>0</v>
      </c>
      <c r="AM13" s="896">
        <f t="shared" si="2"/>
        <v>16738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827</v>
      </c>
      <c r="BD13" s="896">
        <f t="shared" si="2"/>
        <v>3770</v>
      </c>
      <c r="BE13" s="896">
        <f t="shared" si="2"/>
        <v>0</v>
      </c>
      <c r="BF13" s="896">
        <f t="shared" si="2"/>
        <v>0</v>
      </c>
      <c r="BG13" s="896">
        <f>IF(ISNUMBER(Datos!K13/Datos!J13),Datos!K13/Datos!J13," - ")</f>
        <v>1.0108459869848156</v>
      </c>
      <c r="BH13" s="900">
        <f>IF(ISNUMBER(((Datos!L13/Datos!K13)*11)/factor_trimestre),((Datos!L13/Datos!K13)*11)/factor_trimestre," - ")</f>
        <v>8.9817596566523612</v>
      </c>
      <c r="BI13" s="896">
        <f>IF(ISNUMBER('Resol  Asuntos'!D13/NºAsuntos!G13),'Resol  Asuntos'!D13/NºAsuntos!G13," - ")</f>
        <v>0.13889821968424587</v>
      </c>
      <c r="BJ13" s="896" t="str">
        <f>IF(ISNUMBER(Datos!CI13/Datos!CJ13),Datos!CI13/Datos!CJ13," - ")</f>
        <v xml:space="preserve"> - </v>
      </c>
      <c r="BK13" s="896">
        <f>SUBTOTAL(9,BK8:BK12)</f>
        <v>0</v>
      </c>
      <c r="BL13" s="896">
        <f>IF(ISNUMBER((I13-AB13+L13)/(F13)),(I13-AB13+L13)/(F13)," - ")</f>
        <v>-0.15469613259668508</v>
      </c>
      <c r="BM13" s="901">
        <f>SUBTOTAL(9,BM9:BM12)</f>
        <v>2.667668130148431E-2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7175</v>
      </c>
      <c r="G15" s="596">
        <f>IF(ISNUMBER(IF(D_I="SI",Datos!I15,Datos!I15+Datos!AC15)),IF(D_I="SI",Datos!I15,Datos!I15+Datos!AC15)," - ")</f>
        <v>7150</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81</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6594</v>
      </c>
      <c r="AC15" s="224">
        <f>IF(ISNUMBER(Datos!Q15),Datos!Q15," - ")</f>
        <v>92</v>
      </c>
      <c r="AD15" s="224"/>
      <c r="AE15" s="224"/>
      <c r="AF15" s="224">
        <f>IF(ISNUMBER(IF(D_I="SI",Datos!L15,Datos!L15+Datos!AF15)),IF(D_I="SI",Datos!L15,Datos!L15+Datos!AF15)," - ")</f>
        <v>7366</v>
      </c>
      <c r="AG15" s="333"/>
      <c r="AH15" s="224"/>
      <c r="AI15" s="224"/>
      <c r="AJ15" s="224"/>
      <c r="AK15" s="333"/>
      <c r="AL15" s="478"/>
      <c r="AM15" s="224">
        <f>IF(ISNUMBER(Datos!R15),Datos!R15," - ")</f>
        <v>540</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358</v>
      </c>
      <c r="BD15" s="228">
        <f>IF(ISNUMBER(Datos!N15),Datos!N15," - ")</f>
        <v>5304</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0.97184966838614595</v>
      </c>
      <c r="BH15" s="224">
        <f>IF(ISNUMBER(((IF(D_I="SI",Datos!L15/Datos!K15,(Datos!L15+Datos!AF15)/(Datos!K15+Datos!AE15)))*11)/factor_trimestre),((IF(D_I="SI",Datos!L15/Datos!K15,(Datos!L15+Datos!AF15)/(Datos!K15+Datos!AE15)))*11)/factor_trimestre," - ")</f>
        <v>3.3512283894449504</v>
      </c>
      <c r="BI15" s="242">
        <f>IF(ISNUMBER('Resol  Asuntos'!D15/NºAsuntos!G15),'Resol  Asuntos'!D15/NºAsuntos!G15," - ")</f>
        <v>5.4291780406430089E-2</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2486.6078519703378</v>
      </c>
      <c r="CF15" s="228">
        <f ca="1">AVERAGEIFS($AB:$AB,$BW:$BW,BW15,$BX:$BX,BX15)</f>
        <v>2486.6078519703378</v>
      </c>
      <c r="CG15" s="1191">
        <v>0.7</v>
      </c>
      <c r="CH15" s="1191">
        <f ca="1">AVERAGEIF($BW:$BW,BW15,$AC:$AC)</f>
        <v>257.7</v>
      </c>
      <c r="CI15" s="228">
        <f ca="1">AVERAGEIFS($AC:$AC,$BW:$BW,BW15,$BX:$BX,BX15)</f>
        <v>257.7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2750.6666666666665</v>
      </c>
      <c r="CR15" s="228">
        <f ca="1">AVERAGEIFS($AF:$AF,$BW:$BW,BW15,$BX:$BX,BX15)</f>
        <v>2750.6666666666665</v>
      </c>
      <c r="CS15" s="1191">
        <v>1.3</v>
      </c>
      <c r="CT15" s="1191">
        <v>1.5</v>
      </c>
      <c r="CU15" s="1191">
        <f ca="1">AVERAGEIF($BW:$BW,$BW15,$AH:$AH)</f>
        <v>263.57142857142856</v>
      </c>
      <c r="CV15" s="228">
        <f ca="1">AVERAGEIFS($AH:$AH,$BW:$BW,$BW15,$BX:$BX,$BX15)</f>
        <v>263.57142857142856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5183.3999999999996</v>
      </c>
      <c r="DH15" s="228">
        <f ca="1">AVERAGEIFS($AM:$AM,$BW:$BW,$BW15,$BX:$BX,$BX15)</f>
        <v>5183.3999999999996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5.8472393459723913</v>
      </c>
      <c r="ER15" s="228">
        <f ca="1">AVERAGEIFS($BH:$BH,$BW:$BW,$BW15,$BX:$BX,$BX15)</f>
        <v>5.8472393459723913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2486.6078519703378</v>
      </c>
      <c r="CF16" s="228">
        <f ca="1">AVERAGEIFS($AB:$AB,$BW:$BW,BW16,$BX:$BX,BX16)</f>
        <v>2486.6078519703378</v>
      </c>
      <c r="CG16" s="1191">
        <v>0.7</v>
      </c>
      <c r="CH16" s="1191">
        <f ca="1">AVERAGEIF($BW:$BW,BW16,$AC:$AC)</f>
        <v>257.7</v>
      </c>
      <c r="CI16" s="228">
        <f ca="1">AVERAGEIFS($AC:$AC,$BW:$BW,BW16,$BX:$BX,BX16)</f>
        <v>257.7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2750.6666666666665</v>
      </c>
      <c r="CR16" s="228">
        <f ca="1">AVERAGEIFS($AF:$AF,$BW:$BW,BW16,$BX:$BX,BX16)</f>
        <v>2750.6666666666665</v>
      </c>
      <c r="CS16" s="1191">
        <v>1.3</v>
      </c>
      <c r="CT16" s="1191">
        <v>1.5</v>
      </c>
      <c r="CU16" s="1191">
        <f ca="1">AVERAGEIF($BW:$BW,$BW16,$AH:$AH)</f>
        <v>263.57142857142856</v>
      </c>
      <c r="CV16" s="228">
        <f ca="1">AVERAGEIFS($AH:$AH,$BW:$BW,$BW16,$BX:$BX,$BX16)</f>
        <v>263.57142857142856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5183.3999999999996</v>
      </c>
      <c r="DH16" s="228">
        <f ca="1">AVERAGEIFS($AM:$AM,$BW:$BW,$BW16,$BX:$BX,$BX16)</f>
        <v>5183.3999999999996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5.8472393459723913</v>
      </c>
      <c r="ER16" s="228">
        <f ca="1">AVERAGEIFS($BH:$BH,$BW:$BW,$BW16,$BX:$BX,$BX16)</f>
        <v>5.8472393459723913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2486.6078519703378</v>
      </c>
      <c r="CF17" s="228">
        <f ca="1">AVERAGEIFS($AB:$AB,$BW:$BW,BW17,$BX:$BX,BX17)</f>
        <v>2486.6078519703378</v>
      </c>
      <c r="CG17" s="1191">
        <v>0.7</v>
      </c>
      <c r="CH17" s="1191">
        <f ca="1">AVERAGEIF($BW:$BW,BW17,$AC:$AC)</f>
        <v>257.7</v>
      </c>
      <c r="CI17" s="228">
        <f ca="1">AVERAGEIFS($AC:$AC,$BW:$BW,BW17,$BX:$BX,BX17)</f>
        <v>257.7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2750.6666666666665</v>
      </c>
      <c r="CR17" s="228">
        <f ca="1">AVERAGEIFS($AF:$AF,$BW:$BW,BW17,$BX:$BX,BX17)</f>
        <v>2750.6666666666665</v>
      </c>
      <c r="CS17" s="1191">
        <v>1.3</v>
      </c>
      <c r="CT17" s="1191">
        <v>1.5</v>
      </c>
      <c r="CU17" s="1191">
        <f ca="1">AVERAGEIF($BW:$BW,$BW17,$AH:$AH)</f>
        <v>263.57142857142856</v>
      </c>
      <c r="CV17" s="228">
        <f ca="1">AVERAGEIFS($AH:$AH,$BW:$BW,$BW17,$BX:$BX,$BX17)</f>
        <v>263.57142857142856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5183.3999999999996</v>
      </c>
      <c r="DH17" s="228">
        <f ca="1">AVERAGEIFS($AM:$AM,$BW:$BW,$BW17,$BX:$BX,$BX17)</f>
        <v>5183.3999999999996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5.8472393459723913</v>
      </c>
      <c r="ER17" s="228">
        <f ca="1">AVERAGEIFS($BH:$BH,$BW:$BW,$BW17,$BX:$BX,$BX17)</f>
        <v>5.8472393459723913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627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450</v>
      </c>
      <c r="AC18" s="224">
        <f>IF(ISNUMBER(Datos!Q18),Datos!Q18," - ")</f>
        <v>0</v>
      </c>
      <c r="AD18" s="224"/>
      <c r="AE18" s="224"/>
      <c r="AF18" s="224">
        <f>IF(ISNUMBER(Datos!L18),Datos!L18,"-")</f>
        <v>678</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47</v>
      </c>
      <c r="BD18" s="228">
        <f>IF(ISNUMBER(Datos!N18),Datos!N18," - ")</f>
        <v>238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0.92592592592592593</v>
      </c>
      <c r="BH18" s="224">
        <f>IF(ISNUMBER(((IF(D_I="SI",Datos!L18/Datos!K18,(Datos!L18+Datos!AF18)/(Datos!K18+Datos!AE18)))*11)/factor_trimestre),((IF(D_I="SI",Datos!L18/Datos!K18,(Datos!L18+Datos!AF18)/(Datos!K18+Datos!AE18)))*11)/factor_trimestre," - ")</f>
        <v>4.5200000000000005</v>
      </c>
      <c r="BI18" s="242">
        <f>IF(ISNUMBER('Resol  Asuntos'!D18/NºAsuntos!G18),'Resol  Asuntos'!D18/NºAsuntos!G18," - ")</f>
        <v>0.10444444444444445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2486.6078519703378</v>
      </c>
      <c r="CF18" s="228">
        <f ca="1">AVERAGEIFS($AB:$AB,$BW:$BW,BW18,$BX:$BX,BX18)</f>
        <v>2486.6078519703378</v>
      </c>
      <c r="CG18" s="1191">
        <v>0.7</v>
      </c>
      <c r="CH18" s="1191">
        <f ca="1">AVERAGEIF($BW:$BW,BW18,$AC:$AC)</f>
        <v>257.7</v>
      </c>
      <c r="CI18" s="228">
        <f ca="1">AVERAGEIFS($AC:$AC,$BW:$BW,BW18,$BX:$BX,BX18)</f>
        <v>257.7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2750.6666666666665</v>
      </c>
      <c r="CR18" s="228">
        <f ca="1">AVERAGEIFS($AF:$AF,$BW:$BW,BW18,$BX:$BX,BX18)</f>
        <v>2750.6666666666665</v>
      </c>
      <c r="CS18" s="1191">
        <v>1.3</v>
      </c>
      <c r="CT18" s="1191">
        <v>1.5</v>
      </c>
      <c r="CU18" s="1191">
        <f ca="1">AVERAGEIF($BW:$BW,$BW18,$AH:$AH)</f>
        <v>263.57142857142856</v>
      </c>
      <c r="CV18" s="228">
        <f ca="1">AVERAGEIFS($AH:$AH,$BW:$BW,$BW18,$BX:$BX,$BX18)</f>
        <v>263.57142857142856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5183.3999999999996</v>
      </c>
      <c r="DH18" s="228">
        <f ca="1">AVERAGEIFS($AM:$AM,$BW:$BW,$BW18,$BX:$BX,$BX18)</f>
        <v>5183.3999999999996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5.8472393459723913</v>
      </c>
      <c r="ER18" s="228">
        <f ca="1">AVERAGEIFS($BH:$BH,$BW:$BW,$BW18,$BX:$BX,$BX18)</f>
        <v>5.8472393459723913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7</v>
      </c>
      <c r="F19" s="895">
        <f>SUBTOTAL(9,F15:F18)</f>
        <v>7175</v>
      </c>
      <c r="G19" s="895">
        <f>SUBTOTAL(9,G15:G18)</f>
        <v>7777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81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7044</v>
      </c>
      <c r="AC19" s="896">
        <f t="shared" si="5"/>
        <v>92</v>
      </c>
      <c r="AD19" s="896">
        <f t="shared" si="5"/>
        <v>0</v>
      </c>
      <c r="AE19" s="896">
        <f t="shared" si="5"/>
        <v>0</v>
      </c>
      <c r="AF19" s="896">
        <f t="shared" si="5"/>
        <v>8044</v>
      </c>
      <c r="AG19" s="896">
        <f t="shared" si="5"/>
        <v>0</v>
      </c>
      <c r="AH19" s="896">
        <f t="shared" si="5"/>
        <v>0</v>
      </c>
      <c r="AI19" s="896">
        <f t="shared" si="5"/>
        <v>0</v>
      </c>
      <c r="AJ19" s="896">
        <f t="shared" si="5"/>
        <v>0</v>
      </c>
      <c r="AK19" s="896">
        <f t="shared" si="5"/>
        <v>0</v>
      </c>
      <c r="AL19" s="896">
        <f t="shared" si="5"/>
        <v>0</v>
      </c>
      <c r="AM19" s="896">
        <f t="shared" si="5"/>
        <v>540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405</v>
      </c>
      <c r="BD19" s="896">
        <f t="shared" si="5"/>
        <v>5542</v>
      </c>
      <c r="BE19" s="896">
        <f t="shared" si="5"/>
        <v>0</v>
      </c>
      <c r="BF19" s="896">
        <f t="shared" si="5"/>
        <v>0</v>
      </c>
      <c r="BG19" s="896">
        <f>IF(ISNUMBER(Datos!K19/Datos!J19),Datos!K19/Datos!J19," - ")</f>
        <v>0.96878008527025172</v>
      </c>
      <c r="BH19" s="900">
        <f>IF(ISNUMBER(((Datos!L19/Datos!K19)*11)/factor_trimestre),((Datos!L19/Datos!K19)*11)/factor_trimestre," - ")</f>
        <v>3.4258943781942084</v>
      </c>
      <c r="BI19" s="896">
        <f>SUBTOTAL(9,BI15:BI18)</f>
        <v>0.15873622485087455</v>
      </c>
      <c r="BJ19" s="896">
        <f>SUBTOTAL(9,BJ15:BJ18)</f>
        <v>0</v>
      </c>
      <c r="BK19" s="896">
        <f>SUBTOTAL(9,BK15:BK18)</f>
        <v>0</v>
      </c>
      <c r="BL19" s="896">
        <f>IF(ISNUMBER((I19-AB19+L19)/(F19)),(I19-AB19+L19)/(F19)," - ")</f>
        <v>-0.98174216027874561</v>
      </c>
      <c r="BM19" s="902">
        <f>IF(ISNUMBER((Datos!P19-Datos!Q19)/(Datos!R19-Datos!P19+Datos!Q19)),(Datos!P19-Datos!Q19)/(Datos!R19-Datos!P19+Datos!Q19)," - ")</f>
        <v>-1.9963702359346643E-2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18</v>
      </c>
      <c r="F20" s="817">
        <f t="shared" si="7"/>
        <v>7356</v>
      </c>
      <c r="G20" s="817">
        <f t="shared" si="7"/>
        <v>7951</v>
      </c>
      <c r="H20" s="819">
        <f t="shared" si="7"/>
        <v>0</v>
      </c>
      <c r="I20" s="817">
        <f t="shared" si="7"/>
        <v>0</v>
      </c>
      <c r="J20" s="819">
        <f t="shared" si="7"/>
        <v>0</v>
      </c>
      <c r="K20" s="819">
        <f t="shared" si="7"/>
        <v>0</v>
      </c>
      <c r="L20" s="878">
        <f t="shared" si="7"/>
        <v>0</v>
      </c>
      <c r="M20" s="878">
        <f t="shared" si="7"/>
        <v>0</v>
      </c>
      <c r="N20" s="878">
        <f t="shared" si="7"/>
        <v>265</v>
      </c>
      <c r="O20" s="878">
        <f t="shared" si="7"/>
        <v>0</v>
      </c>
      <c r="P20" s="878">
        <f t="shared" si="7"/>
        <v>0</v>
      </c>
      <c r="Q20" s="819">
        <f t="shared" si="7"/>
        <v>945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7072</v>
      </c>
      <c r="AC20" s="818">
        <f t="shared" si="8"/>
        <v>859</v>
      </c>
      <c r="AD20" s="818">
        <f t="shared" si="8"/>
        <v>0</v>
      </c>
      <c r="AE20" s="818">
        <f t="shared" si="8"/>
        <v>0</v>
      </c>
      <c r="AF20" s="825">
        <f t="shared" si="8"/>
        <v>8252</v>
      </c>
      <c r="AG20" s="825">
        <f t="shared" si="8"/>
        <v>0</v>
      </c>
      <c r="AH20" s="825">
        <f t="shared" si="8"/>
        <v>615</v>
      </c>
      <c r="AI20" s="825">
        <f t="shared" si="8"/>
        <v>0</v>
      </c>
      <c r="AJ20" s="818">
        <f t="shared" si="8"/>
        <v>0</v>
      </c>
      <c r="AK20" s="825">
        <f t="shared" si="8"/>
        <v>0</v>
      </c>
      <c r="AL20" s="825">
        <f t="shared" si="8"/>
        <v>0</v>
      </c>
      <c r="AM20" s="825">
        <f t="shared" si="8"/>
        <v>17278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1232</v>
      </c>
      <c r="BD20" s="817">
        <f t="shared" si="8"/>
        <v>9312</v>
      </c>
      <c r="BE20" s="817">
        <f t="shared" si="8"/>
        <v>0</v>
      </c>
      <c r="BF20" s="827">
        <f t="shared" si="8"/>
        <v>0</v>
      </c>
      <c r="BG20" s="912">
        <f>IF(ISNUMBER(Datos!K20/Datos!J20),Datos!K20/Datos!J20," - ")</f>
        <v>0.98695618214480985</v>
      </c>
      <c r="BH20" s="912">
        <f>IF(ISNUMBER(((Datos!L20/Datos!K20)*11)/factor_trimestre),((Datos!L20/Datos!K20)*11)/factor_trimestre," - ")</f>
        <v>5.884615384615385</v>
      </c>
      <c r="BI20" s="810">
        <f>IF(ISNUMBER(Datos!J20/Datos!I20),Datos!J20/Datos!I20," - ")</f>
        <v>0.5300571333940548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-0.96139206090266449</v>
      </c>
      <c r="BM20" s="886">
        <f>IF(ISNUMBER((Datos!P20-Datos!Q20+R20)/(Datos!R20-Datos!P20+Datos!Q20-R20)),(Datos!P20-Datos!Q20+R20)/(Datos!R20-Datos!P20+Datos!Q20-R20)," - ")</f>
        <v>5.0023266635644487E-3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3180.4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4.1419265512024177</v>
      </c>
      <c r="F22" s="550">
        <f>IF(ISNUMBER(STDEV(F8:F19)),STDEV(F8:F19),"-")</f>
        <v>4037.9877827122427</v>
      </c>
      <c r="G22" s="551">
        <f>IF(ISNUMBER(STDEV(G8:G19)),STDEV(G8:G19),"-")</f>
        <v>3920.5608399819534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3650.0785197033774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355.19384379049518</v>
      </c>
      <c r="BD22" s="550"/>
      <c r="BE22" s="550">
        <f>IF(ISNUMBER(STDEV(BE8:BE19)),STDEV(BE8:BE19),"-")</f>
        <v>0</v>
      </c>
      <c r="BF22" s="555">
        <f>IF(ISNUMBER(STDEV(BF8:BF19)),STDEV(BF8:BF19),"-")</f>
        <v>0</v>
      </c>
      <c r="BG22" s="772">
        <f>IF(ISNUMBER(STDEV(BG8:BG19)),STDEV(BG8:BG19),"-")</f>
        <v>0.19648942966692209</v>
      </c>
      <c r="BH22" s="773">
        <f>IF(ISNUMBER(STDEV(BH8:BH19)),STDEV(BH8:BH19),"-")</f>
        <v>7.188847980734236</v>
      </c>
      <c r="BI22" s="248">
        <f>IF(ISNUMBER(STDEV(BI8:BI19)),STDEV(BI8:BI19),"-")</f>
        <v>4.5744205233791857E-2</v>
      </c>
      <c r="BJ22" s="986" t="str">
        <f>IF(ISNUMBER(BL22/BM22),BL22/BM22," - ")</f>
        <v xml:space="preserve"> - </v>
      </c>
      <c r="BK22" s="574"/>
      <c r="BL22" s="558">
        <f>IF(ISNUMBER(STDEV(BL8:BL19)),STDEV(BL8:BL19),"-")</f>
        <v>0.5848098545273821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Db4hjNUSCXtViPj8N5oheJ57W630Fu4+3LLBgdmuGpUV5cRu4cP4sMy3WNzlsAEtzQgqGtV5k2EW4LTvt+Pecw==" saltValue="dsbQ3RGKAJ2plXYLDFhSo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BARCELONA  Resumenes por Partidos Judiciales  HOSPITALET DE LLOBREGAT, L'</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0.13889821968424587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9.8215873033469056E-2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QhdhR6Nu7yRFpOzTijLpvn32Sz1MUTKi0qqKgR+a3QdS6k6Y1GddmB6/xOjNfBaGORtwTr1xLHKWaYCxs1MeWw==" saltValue="x7g8tMQymIaG0sDkjg6gc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BARCELONA</v>
      </c>
      <c r="C4" s="787" t="str">
        <f>IF(Criterios!B11=0,"",Criterios!B11)</f>
        <v>HOSPITALET DE LLOBREGAT, L'</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1NYWHM0kkxy1WlBDGc7f/cA5Z/UZAGwpemPI4gtUg12u4AnJAGAKz6VgaA3Rp7dTcKD4dS1hyeMgqpuTE+cR9A==" saltValue="d0qaXC53/I6+D87ULBmX2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2026-10-06T13:36:07Z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